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Felles informasjon\Kunder\Annen næring\Otta IL\Årsregnskap\2023\"/>
    </mc:Choice>
  </mc:AlternateContent>
  <xr:revisionPtr revIDLastSave="0" documentId="13_ncr:1_{53136190-DC88-4037-A8FD-2A0ECC1CB97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022 Resultat og balanse" sheetId="1" r:id="rId1"/>
    <sheet name="Noter" sheetId="6" r:id="rId2"/>
    <sheet name="Avstemming" sheetId="4" r:id="rId3"/>
    <sheet name="Undergrupper 2023" sheetId="17" r:id="rId4"/>
    <sheet name="Undergrupper 2022" sheetId="18" r:id="rId5"/>
    <sheet name="Undergrupper 2021" sheetId="14" r:id="rId6"/>
    <sheet name="Undergrupper 2020" sheetId="16" r:id="rId7"/>
    <sheet name="Undergrupper 2019" sheetId="15" r:id="rId8"/>
    <sheet name="Undergrupper 2018" sheetId="10" r:id="rId9"/>
    <sheet name="Undergrupper 2017" sheetId="13" r:id="rId10"/>
    <sheet name="Undergrupper 2016" sheetId="12" r:id="rId11"/>
    <sheet name="Undergrupper 2015" sheetId="11" r:id="rId12"/>
    <sheet name="Undergrupper 2013" sheetId="9" r:id="rId13"/>
    <sheet name="Undergrupper 2012" sheetId="7" r:id="rId14"/>
    <sheet name="Undergrupper 2011" sheetId="8" r:id="rId15"/>
    <sheet name="Utregning 2010" sheetId="2" r:id="rId16"/>
    <sheet name="Utregning 2009" sheetId="5" r:id="rId17"/>
  </sheets>
  <definedNames>
    <definedName name="_xlnm.Print_Area" localSheetId="0">'2022 Resultat og balanse'!$A$1:$D$119</definedName>
    <definedName name="_xlnm.Print_Area" localSheetId="1">Noter!$A$1:$G$49</definedName>
    <definedName name="_xlnm.Print_Area" localSheetId="13">'Undergrupper 2012'!$A$1:$AO$100</definedName>
    <definedName name="_xlnm.Print_Area" localSheetId="11">'Undergrupper 2015'!$A$1:$AO$100</definedName>
    <definedName name="_xlnm.Print_Area" localSheetId="10">'Undergrupper 2016'!$A$1:$AO$100</definedName>
    <definedName name="_xlnm.Print_Area" localSheetId="9">'Undergrupper 2017'!$A$1:$AO$100</definedName>
    <definedName name="_xlnm.Print_Area" localSheetId="8">'Undergrupper 2018'!$A$1:$AO$100</definedName>
    <definedName name="_xlnm.Print_Area" localSheetId="7">'Undergrupper 2019'!$A$1:$AO$100</definedName>
    <definedName name="_xlnm.Print_Area" localSheetId="6">'Undergrupper 2020'!$A$1:$AO$100</definedName>
    <definedName name="_xlnm.Print_Area" localSheetId="5">'Undergrupper 2021'!$A$1:$AO$100</definedName>
    <definedName name="_xlnm.Print_Area" localSheetId="4">'Undergrupper 2022'!$A$1:$AO$100</definedName>
    <definedName name="_xlnm.Print_Area" localSheetId="3">'Undergrupper 2023'!$A$1:$AO$100</definedName>
    <definedName name="_xlnm.Print_Area" localSheetId="16">'Utregning 2009'!$A$1:$AL$100</definedName>
    <definedName name="_xlnm.Print_Area" localSheetId="15">'Utregning 2010'!$A$1:$AL$101</definedName>
    <definedName name="_xlnm.Print_Area">'2022 Resultat og balanse'!$A$3:$D$117</definedName>
    <definedName name="_xlnm.Print_Titles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4" l="1"/>
  <c r="B28" i="4"/>
  <c r="B27" i="4"/>
  <c r="B26" i="4"/>
  <c r="B25" i="4"/>
  <c r="B24" i="4"/>
  <c r="B23" i="4"/>
  <c r="B22" i="4"/>
  <c r="G88" i="1"/>
  <c r="C100" i="1"/>
  <c r="R42" i="17"/>
  <c r="U47" i="17"/>
  <c r="U46" i="17"/>
  <c r="U42" i="17"/>
  <c r="G95" i="17"/>
  <c r="G71" i="17"/>
  <c r="O130" i="17"/>
  <c r="O99" i="17"/>
  <c r="O97" i="17"/>
  <c r="P13" i="17"/>
  <c r="O13" i="17"/>
  <c r="F118" i="17"/>
  <c r="F123" i="17"/>
  <c r="F112" i="17"/>
  <c r="F109" i="17"/>
  <c r="F30" i="17"/>
  <c r="AA130" i="18"/>
  <c r="X130" i="18"/>
  <c r="U130" i="18"/>
  <c r="R130" i="18"/>
  <c r="O130" i="18"/>
  <c r="L130" i="18"/>
  <c r="I130" i="18"/>
  <c r="C129" i="18"/>
  <c r="F123" i="18"/>
  <c r="C123" i="18"/>
  <c r="C122" i="18"/>
  <c r="C121" i="18"/>
  <c r="C120" i="18"/>
  <c r="C119" i="18"/>
  <c r="F118" i="18"/>
  <c r="C118" i="18"/>
  <c r="C117" i="18"/>
  <c r="C116" i="18"/>
  <c r="C115" i="18"/>
  <c r="C114" i="18"/>
  <c r="C113" i="18"/>
  <c r="F112" i="18"/>
  <c r="C112" i="18"/>
  <c r="C111" i="18"/>
  <c r="C110" i="18"/>
  <c r="F109" i="18"/>
  <c r="F125" i="18" s="1"/>
  <c r="F130" i="18" s="1"/>
  <c r="C109" i="18"/>
  <c r="C125" i="18" s="1"/>
  <c r="AK97" i="18"/>
  <c r="AB97" i="18"/>
  <c r="R97" i="18"/>
  <c r="AN96" i="18"/>
  <c r="AM96" i="18"/>
  <c r="AM97" i="18" s="1"/>
  <c r="AK96" i="18"/>
  <c r="AJ96" i="18"/>
  <c r="AJ97" i="18" s="1"/>
  <c r="AI96" i="18"/>
  <c r="AH96" i="18"/>
  <c r="AH97" i="18" s="1"/>
  <c r="AG96" i="18"/>
  <c r="AE96" i="18"/>
  <c r="AD96" i="18"/>
  <c r="AB96" i="18"/>
  <c r="AA96" i="18"/>
  <c r="Y96" i="18"/>
  <c r="X96" i="18"/>
  <c r="V96" i="18"/>
  <c r="U96" i="18"/>
  <c r="R96" i="18"/>
  <c r="P96" i="18"/>
  <c r="P97" i="18" s="1"/>
  <c r="O96" i="18"/>
  <c r="M96" i="18"/>
  <c r="L96" i="18"/>
  <c r="J96" i="18"/>
  <c r="I96" i="18"/>
  <c r="G96" i="18"/>
  <c r="F96" i="18"/>
  <c r="AO95" i="18"/>
  <c r="AL95" i="18"/>
  <c r="AI95" i="18"/>
  <c r="AF95" i="18"/>
  <c r="AC95" i="18"/>
  <c r="Z95" i="18"/>
  <c r="W95" i="18"/>
  <c r="S95" i="18"/>
  <c r="S96" i="18" s="1"/>
  <c r="S97" i="18" s="1"/>
  <c r="Q95" i="18"/>
  <c r="N95" i="18"/>
  <c r="N96" i="18" s="1"/>
  <c r="K95" i="18"/>
  <c r="H95" i="18"/>
  <c r="AO94" i="18"/>
  <c r="AO96" i="18" s="1"/>
  <c r="AL94" i="18"/>
  <c r="AI94" i="18"/>
  <c r="AF94" i="18"/>
  <c r="AC94" i="18"/>
  <c r="Z94" i="18"/>
  <c r="W94" i="18"/>
  <c r="T94" i="18"/>
  <c r="Q94" i="18"/>
  <c r="N94" i="18"/>
  <c r="K94" i="18"/>
  <c r="H94" i="18"/>
  <c r="C94" i="18" s="1"/>
  <c r="AO93" i="18"/>
  <c r="AL93" i="18"/>
  <c r="AI93" i="18"/>
  <c r="AF93" i="18"/>
  <c r="C93" i="18" s="1"/>
  <c r="AC93" i="18"/>
  <c r="Z93" i="18"/>
  <c r="W93" i="18"/>
  <c r="W96" i="18" s="1"/>
  <c r="T93" i="18"/>
  <c r="Q93" i="18"/>
  <c r="N93" i="18"/>
  <c r="K93" i="18"/>
  <c r="H93" i="18"/>
  <c r="AO92" i="18"/>
  <c r="AL92" i="18"/>
  <c r="AL96" i="18" s="1"/>
  <c r="AI92" i="18"/>
  <c r="AF92" i="18"/>
  <c r="AF96" i="18" s="1"/>
  <c r="AC92" i="18"/>
  <c r="AC96" i="18" s="1"/>
  <c r="Z92" i="18"/>
  <c r="Z96" i="18" s="1"/>
  <c r="W92" i="18"/>
  <c r="T92" i="18"/>
  <c r="Q92" i="18"/>
  <c r="Q96" i="18" s="1"/>
  <c r="Q97" i="18" s="1"/>
  <c r="N92" i="18"/>
  <c r="K92" i="18"/>
  <c r="K96" i="18" s="1"/>
  <c r="H92" i="18"/>
  <c r="C92" i="18" s="1"/>
  <c r="AN89" i="18"/>
  <c r="AN97" i="18" s="1"/>
  <c r="AN99" i="18" s="1"/>
  <c r="AM89" i="18"/>
  <c r="AK89" i="18"/>
  <c r="AJ89" i="18"/>
  <c r="AI89" i="18"/>
  <c r="AI97" i="18" s="1"/>
  <c r="AH89" i="18"/>
  <c r="AG89" i="18"/>
  <c r="AG97" i="18" s="1"/>
  <c r="AE89" i="18"/>
  <c r="AE97" i="18" s="1"/>
  <c r="AD89" i="18"/>
  <c r="AD97" i="18" s="1"/>
  <c r="AB89" i="18"/>
  <c r="AA89" i="18"/>
  <c r="AA97" i="18" s="1"/>
  <c r="Z89" i="18"/>
  <c r="Y89" i="18"/>
  <c r="Y97" i="18" s="1"/>
  <c r="X89" i="18"/>
  <c r="X97" i="18" s="1"/>
  <c r="W89" i="18"/>
  <c r="W97" i="18" s="1"/>
  <c r="V89" i="18"/>
  <c r="V97" i="18" s="1"/>
  <c r="U89" i="18"/>
  <c r="U97" i="18" s="1"/>
  <c r="U99" i="18" s="1"/>
  <c r="T89" i="18"/>
  <c r="S89" i="18"/>
  <c r="R89" i="18"/>
  <c r="Q89" i="18"/>
  <c r="P89" i="18"/>
  <c r="O89" i="18"/>
  <c r="O97" i="18" s="1"/>
  <c r="M89" i="18"/>
  <c r="M97" i="18" s="1"/>
  <c r="L89" i="18"/>
  <c r="L97" i="18" s="1"/>
  <c r="K89" i="18"/>
  <c r="K97" i="18" s="1"/>
  <c r="J89" i="18"/>
  <c r="J97" i="18" s="1"/>
  <c r="I89" i="18"/>
  <c r="I97" i="18" s="1"/>
  <c r="G89" i="18"/>
  <c r="G97" i="18" s="1"/>
  <c r="F89" i="18"/>
  <c r="F97" i="18" s="1"/>
  <c r="AO88" i="18"/>
  <c r="AO89" i="18" s="1"/>
  <c r="AO97" i="18" s="1"/>
  <c r="AL88" i="18"/>
  <c r="AL89" i="18" s="1"/>
  <c r="AL97" i="18" s="1"/>
  <c r="AI88" i="18"/>
  <c r="AF88" i="18"/>
  <c r="AF89" i="18" s="1"/>
  <c r="AF97" i="18" s="1"/>
  <c r="AC88" i="18"/>
  <c r="AC89" i="18" s="1"/>
  <c r="AC97" i="18" s="1"/>
  <c r="Z88" i="18"/>
  <c r="W88" i="18"/>
  <c r="T88" i="18"/>
  <c r="Q88" i="18"/>
  <c r="N88" i="18"/>
  <c r="N89" i="18" s="1"/>
  <c r="N97" i="18" s="1"/>
  <c r="K88" i="18"/>
  <c r="H88" i="18"/>
  <c r="C88" i="18" s="1"/>
  <c r="C89" i="18" s="1"/>
  <c r="AO87" i="18"/>
  <c r="AL87" i="18"/>
  <c r="AI87" i="18"/>
  <c r="AF87" i="18"/>
  <c r="AC87" i="18"/>
  <c r="Z87" i="18"/>
  <c r="W87" i="18"/>
  <c r="T87" i="18"/>
  <c r="Q87" i="18"/>
  <c r="N87" i="18"/>
  <c r="K87" i="18"/>
  <c r="H87" i="18"/>
  <c r="AO86" i="18"/>
  <c r="AL86" i="18"/>
  <c r="AI86" i="18"/>
  <c r="AF86" i="18"/>
  <c r="AC86" i="18"/>
  <c r="Z86" i="18"/>
  <c r="W86" i="18"/>
  <c r="T86" i="18"/>
  <c r="Q86" i="18"/>
  <c r="N86" i="18"/>
  <c r="K86" i="18"/>
  <c r="H86" i="18"/>
  <c r="AN84" i="18"/>
  <c r="AM84" i="18"/>
  <c r="AL84" i="18"/>
  <c r="AK84" i="18"/>
  <c r="AK99" i="18" s="1"/>
  <c r="AJ84" i="18"/>
  <c r="AI84" i="18"/>
  <c r="AI99" i="18" s="1"/>
  <c r="AH84" i="18"/>
  <c r="AG84" i="18"/>
  <c r="AG99" i="18" s="1"/>
  <c r="AE84" i="18"/>
  <c r="AE99" i="18" s="1"/>
  <c r="AD84" i="18"/>
  <c r="AD99" i="18" s="1"/>
  <c r="AC84" i="18"/>
  <c r="AC99" i="18" s="1"/>
  <c r="AB84" i="18"/>
  <c r="AB99" i="18" s="1"/>
  <c r="AA84" i="18"/>
  <c r="Y84" i="18"/>
  <c r="X84" i="18"/>
  <c r="V84" i="18"/>
  <c r="U84" i="18"/>
  <c r="S84" i="18"/>
  <c r="S99" i="18" s="1"/>
  <c r="R84" i="18"/>
  <c r="R99" i="18" s="1"/>
  <c r="Q84" i="18"/>
  <c r="P84" i="18"/>
  <c r="P99" i="18" s="1"/>
  <c r="O84" i="18"/>
  <c r="O99" i="18" s="1"/>
  <c r="N84" i="18"/>
  <c r="N99" i="18" s="1"/>
  <c r="M84" i="18"/>
  <c r="M99" i="18" s="1"/>
  <c r="L84" i="18"/>
  <c r="L99" i="18" s="1"/>
  <c r="J84" i="18"/>
  <c r="J99" i="18" s="1"/>
  <c r="I84" i="18"/>
  <c r="I99" i="18" s="1"/>
  <c r="G84" i="18"/>
  <c r="G99" i="18" s="1"/>
  <c r="F84" i="18"/>
  <c r="F99" i="18" s="1"/>
  <c r="AO83" i="18"/>
  <c r="AO84" i="18" s="1"/>
  <c r="AO99" i="18" s="1"/>
  <c r="AL83" i="18"/>
  <c r="AI83" i="18"/>
  <c r="AF83" i="18"/>
  <c r="AF84" i="18" s="1"/>
  <c r="AC83" i="18"/>
  <c r="Z83" i="18"/>
  <c r="Z84" i="18" s="1"/>
  <c r="W83" i="18"/>
  <c r="W84" i="18" s="1"/>
  <c r="T83" i="18"/>
  <c r="T84" i="18" s="1"/>
  <c r="Q83" i="18"/>
  <c r="N83" i="18"/>
  <c r="K83" i="18"/>
  <c r="K84" i="18" s="1"/>
  <c r="K99" i="18" s="1"/>
  <c r="H83" i="18"/>
  <c r="C83" i="18" s="1"/>
  <c r="C84" i="18" s="1"/>
  <c r="C81" i="18"/>
  <c r="AN73" i="18"/>
  <c r="AM73" i="18"/>
  <c r="AK73" i="18"/>
  <c r="AJ73" i="18"/>
  <c r="AH73" i="18"/>
  <c r="AG73" i="18"/>
  <c r="AE73" i="18"/>
  <c r="AD73" i="18"/>
  <c r="AB73" i="18"/>
  <c r="AA73" i="18"/>
  <c r="Y73" i="18"/>
  <c r="X73" i="18"/>
  <c r="V73" i="18"/>
  <c r="U73" i="18"/>
  <c r="S73" i="18"/>
  <c r="R73" i="18"/>
  <c r="P73" i="18"/>
  <c r="O73" i="18"/>
  <c r="M73" i="18"/>
  <c r="L73" i="18"/>
  <c r="J73" i="18"/>
  <c r="I73" i="18"/>
  <c r="G73" i="18"/>
  <c r="F73" i="18"/>
  <c r="AO72" i="18"/>
  <c r="AL72" i="18"/>
  <c r="AI72" i="18"/>
  <c r="AF72" i="18"/>
  <c r="AC72" i="18"/>
  <c r="Z72" i="18"/>
  <c r="W72" i="18"/>
  <c r="T72" i="18"/>
  <c r="Q72" i="18"/>
  <c r="N72" i="18"/>
  <c r="K72" i="18"/>
  <c r="H72" i="18"/>
  <c r="C72" i="18" s="1"/>
  <c r="AO71" i="18"/>
  <c r="AL71" i="18"/>
  <c r="AI71" i="18"/>
  <c r="AF71" i="18"/>
  <c r="AC71" i="18"/>
  <c r="Z71" i="18"/>
  <c r="Z73" i="18" s="1"/>
  <c r="W71" i="18"/>
  <c r="T71" i="18"/>
  <c r="Q71" i="18"/>
  <c r="N71" i="18"/>
  <c r="C71" i="18" s="1"/>
  <c r="K71" i="18"/>
  <c r="H71" i="18"/>
  <c r="AO70" i="18"/>
  <c r="AL70" i="18"/>
  <c r="AI70" i="18"/>
  <c r="AF70" i="18"/>
  <c r="AC70" i="18"/>
  <c r="Z70" i="18"/>
  <c r="W70" i="18"/>
  <c r="W73" i="18" s="1"/>
  <c r="T70" i="18"/>
  <c r="Q70" i="18"/>
  <c r="N70" i="18"/>
  <c r="K70" i="18"/>
  <c r="H70" i="18"/>
  <c r="H73" i="18" s="1"/>
  <c r="C70" i="18"/>
  <c r="AO69" i="18"/>
  <c r="AO73" i="18" s="1"/>
  <c r="AL69" i="18"/>
  <c r="AL73" i="18" s="1"/>
  <c r="AI69" i="18"/>
  <c r="AI73" i="18" s="1"/>
  <c r="AF69" i="18"/>
  <c r="AF73" i="18" s="1"/>
  <c r="AC69" i="18"/>
  <c r="AC73" i="18" s="1"/>
  <c r="Z69" i="18"/>
  <c r="W69" i="18"/>
  <c r="T69" i="18"/>
  <c r="T73" i="18" s="1"/>
  <c r="Q69" i="18"/>
  <c r="Q73" i="18" s="1"/>
  <c r="N69" i="18"/>
  <c r="N73" i="18" s="1"/>
  <c r="K69" i="18"/>
  <c r="K73" i="18" s="1"/>
  <c r="H69" i="18"/>
  <c r="AJ66" i="18"/>
  <c r="AJ74" i="18" s="1"/>
  <c r="AH66" i="18"/>
  <c r="AH74" i="18" s="1"/>
  <c r="X66" i="18"/>
  <c r="X74" i="18" s="1"/>
  <c r="P66" i="18"/>
  <c r="P74" i="18" s="1"/>
  <c r="O66" i="18"/>
  <c r="O74" i="18" s="1"/>
  <c r="F66" i="18"/>
  <c r="F74" i="18" s="1"/>
  <c r="AO65" i="18"/>
  <c r="AN65" i="18"/>
  <c r="AM65" i="18"/>
  <c r="AL65" i="18"/>
  <c r="AK65" i="18"/>
  <c r="AJ65" i="18"/>
  <c r="AI65" i="18"/>
  <c r="AH65" i="18"/>
  <c r="AG65" i="18"/>
  <c r="AF65" i="18"/>
  <c r="AE65" i="18"/>
  <c r="AD65" i="18"/>
  <c r="AC65" i="18"/>
  <c r="AB65" i="18"/>
  <c r="AA65" i="18"/>
  <c r="Z65" i="18"/>
  <c r="Y65" i="18"/>
  <c r="Y66" i="18" s="1"/>
  <c r="Y74" i="18" s="1"/>
  <c r="X65" i="18"/>
  <c r="W65" i="18"/>
  <c r="V65" i="18"/>
  <c r="U65" i="18"/>
  <c r="U66" i="18" s="1"/>
  <c r="U74" i="18" s="1"/>
  <c r="T65" i="18"/>
  <c r="S65" i="18"/>
  <c r="R65" i="18"/>
  <c r="Q65" i="18"/>
  <c r="P65" i="18"/>
  <c r="O65" i="18"/>
  <c r="N65" i="18"/>
  <c r="M65" i="18"/>
  <c r="L65" i="18"/>
  <c r="K65" i="18"/>
  <c r="J65" i="18"/>
  <c r="I65" i="18"/>
  <c r="H65" i="18"/>
  <c r="G65" i="18"/>
  <c r="F65" i="18"/>
  <c r="H64" i="18"/>
  <c r="C64" i="18"/>
  <c r="C65" i="18" s="1"/>
  <c r="AN61" i="18"/>
  <c r="AN66" i="18" s="1"/>
  <c r="AN74" i="18" s="1"/>
  <c r="AN100" i="18" s="1"/>
  <c r="AM61" i="18"/>
  <c r="AM66" i="18" s="1"/>
  <c r="AM74" i="18" s="1"/>
  <c r="AK61" i="18"/>
  <c r="AK66" i="18" s="1"/>
  <c r="AK74" i="18" s="1"/>
  <c r="AK100" i="18" s="1"/>
  <c r="AJ61" i="18"/>
  <c r="AH61" i="18"/>
  <c r="AG61" i="18"/>
  <c r="AG66" i="18" s="1"/>
  <c r="AG74" i="18" s="1"/>
  <c r="AF61" i="18"/>
  <c r="AF66" i="18" s="1"/>
  <c r="AF74" i="18" s="1"/>
  <c r="AE61" i="18"/>
  <c r="AE66" i="18" s="1"/>
  <c r="AE74" i="18" s="1"/>
  <c r="AE100" i="18" s="1"/>
  <c r="AE102" i="18" s="1"/>
  <c r="AD61" i="18"/>
  <c r="AD66" i="18" s="1"/>
  <c r="AD74" i="18" s="1"/>
  <c r="AD100" i="18" s="1"/>
  <c r="AB61" i="18"/>
  <c r="AB66" i="18" s="1"/>
  <c r="AB74" i="18" s="1"/>
  <c r="AA61" i="18"/>
  <c r="AA66" i="18" s="1"/>
  <c r="AA74" i="18" s="1"/>
  <c r="Y61" i="18"/>
  <c r="X61" i="18"/>
  <c r="V61" i="18"/>
  <c r="V66" i="18" s="1"/>
  <c r="V74" i="18" s="1"/>
  <c r="U61" i="18"/>
  <c r="S61" i="18"/>
  <c r="S66" i="18" s="1"/>
  <c r="S74" i="18" s="1"/>
  <c r="R61" i="18"/>
  <c r="R66" i="18" s="1"/>
  <c r="R74" i="18" s="1"/>
  <c r="Q61" i="18"/>
  <c r="Q66" i="18" s="1"/>
  <c r="P61" i="18"/>
  <c r="O61" i="18"/>
  <c r="M61" i="18"/>
  <c r="M66" i="18" s="1"/>
  <c r="M74" i="18" s="1"/>
  <c r="M100" i="18" s="1"/>
  <c r="M102" i="18" s="1"/>
  <c r="L61" i="18"/>
  <c r="L66" i="18" s="1"/>
  <c r="L74" i="18" s="1"/>
  <c r="L100" i="18" s="1"/>
  <c r="K61" i="18"/>
  <c r="K66" i="18" s="1"/>
  <c r="K74" i="18" s="1"/>
  <c r="K100" i="18" s="1"/>
  <c r="J61" i="18"/>
  <c r="J66" i="18" s="1"/>
  <c r="J74" i="18" s="1"/>
  <c r="I61" i="18"/>
  <c r="I66" i="18" s="1"/>
  <c r="I74" i="18" s="1"/>
  <c r="I100" i="18" s="1"/>
  <c r="G61" i="18"/>
  <c r="G66" i="18" s="1"/>
  <c r="G74" i="18" s="1"/>
  <c r="F61" i="18"/>
  <c r="AO60" i="18"/>
  <c r="AL60" i="18"/>
  <c r="AI60" i="18"/>
  <c r="AF60" i="18"/>
  <c r="AC60" i="18"/>
  <c r="Z60" i="18"/>
  <c r="W60" i="18"/>
  <c r="T60" i="18"/>
  <c r="T61" i="18" s="1"/>
  <c r="T66" i="18" s="1"/>
  <c r="Q60" i="18"/>
  <c r="N60" i="18"/>
  <c r="K60" i="18"/>
  <c r="H60" i="18"/>
  <c r="C60" i="18"/>
  <c r="AO59" i="18"/>
  <c r="AO61" i="18" s="1"/>
  <c r="AO66" i="18" s="1"/>
  <c r="AO74" i="18" s="1"/>
  <c r="AL59" i="18"/>
  <c r="AL61" i="18" s="1"/>
  <c r="AL66" i="18" s="1"/>
  <c r="AL74" i="18" s="1"/>
  <c r="AI59" i="18"/>
  <c r="AI61" i="18" s="1"/>
  <c r="AI66" i="18" s="1"/>
  <c r="AF59" i="18"/>
  <c r="AC59" i="18"/>
  <c r="AC61" i="18" s="1"/>
  <c r="AC66" i="18" s="1"/>
  <c r="Z59" i="18"/>
  <c r="Z61" i="18" s="1"/>
  <c r="Z66" i="18" s="1"/>
  <c r="Z74" i="18" s="1"/>
  <c r="W59" i="18"/>
  <c r="W61" i="18" s="1"/>
  <c r="W66" i="18" s="1"/>
  <c r="W74" i="18" s="1"/>
  <c r="T59" i="18"/>
  <c r="Q59" i="18"/>
  <c r="N59" i="18"/>
  <c r="N61" i="18" s="1"/>
  <c r="N66" i="18" s="1"/>
  <c r="N74" i="18" s="1"/>
  <c r="N100" i="18" s="1"/>
  <c r="K59" i="18"/>
  <c r="H59" i="18"/>
  <c r="H61" i="18" s="1"/>
  <c r="H66" i="18" s="1"/>
  <c r="H74" i="18" s="1"/>
  <c r="C53" i="18"/>
  <c r="A50" i="18"/>
  <c r="AO41" i="18"/>
  <c r="AL41" i="18"/>
  <c r="AI41" i="18"/>
  <c r="AF41" i="18"/>
  <c r="AC41" i="18"/>
  <c r="Z41" i="18"/>
  <c r="W41" i="18"/>
  <c r="T41" i="18"/>
  <c r="Q41" i="18"/>
  <c r="N41" i="18"/>
  <c r="K41" i="18"/>
  <c r="H41" i="18"/>
  <c r="AN40" i="18"/>
  <c r="AM40" i="18"/>
  <c r="AK40" i="18"/>
  <c r="AJ40" i="18"/>
  <c r="AH40" i="18"/>
  <c r="AG40" i="18"/>
  <c r="AE40" i="18"/>
  <c r="AD40" i="18"/>
  <c r="AB40" i="18"/>
  <c r="AA40" i="18"/>
  <c r="Y40" i="18"/>
  <c r="X40" i="18"/>
  <c r="W40" i="18"/>
  <c r="V40" i="18"/>
  <c r="U40" i="18"/>
  <c r="S40" i="18"/>
  <c r="R40" i="18"/>
  <c r="P40" i="18"/>
  <c r="O40" i="18"/>
  <c r="M40" i="18"/>
  <c r="L40" i="18"/>
  <c r="J40" i="18"/>
  <c r="I40" i="18"/>
  <c r="H40" i="18"/>
  <c r="G40" i="18"/>
  <c r="F40" i="18"/>
  <c r="D40" i="18"/>
  <c r="AO39" i="18"/>
  <c r="AO40" i="18" s="1"/>
  <c r="AL39" i="18"/>
  <c r="AI39" i="18"/>
  <c r="AF39" i="18"/>
  <c r="AC39" i="18"/>
  <c r="Z39" i="18"/>
  <c r="W39" i="18"/>
  <c r="T39" i="18"/>
  <c r="Q39" i="18"/>
  <c r="N39" i="18"/>
  <c r="K39" i="18"/>
  <c r="C39" i="18" s="1"/>
  <c r="H39" i="18"/>
  <c r="AO38" i="18"/>
  <c r="AL38" i="18"/>
  <c r="AL40" i="18" s="1"/>
  <c r="AI38" i="18"/>
  <c r="AF38" i="18"/>
  <c r="AF40" i="18" s="1"/>
  <c r="AC38" i="18"/>
  <c r="Z38" i="18"/>
  <c r="W38" i="18"/>
  <c r="T38" i="18"/>
  <c r="Q38" i="18"/>
  <c r="N38" i="18"/>
  <c r="C38" i="18" s="1"/>
  <c r="K38" i="18"/>
  <c r="H38" i="18"/>
  <c r="AO37" i="18"/>
  <c r="AL37" i="18"/>
  <c r="AI37" i="18"/>
  <c r="AI40" i="18" s="1"/>
  <c r="AF37" i="18"/>
  <c r="AC37" i="18"/>
  <c r="AC40" i="18" s="1"/>
  <c r="Z37" i="18"/>
  <c r="Z40" i="18" s="1"/>
  <c r="W37" i="18"/>
  <c r="T37" i="18"/>
  <c r="T40" i="18" s="1"/>
  <c r="Q37" i="18"/>
  <c r="Q40" i="18" s="1"/>
  <c r="N37" i="18"/>
  <c r="N40" i="18" s="1"/>
  <c r="K37" i="18"/>
  <c r="K40" i="18" s="1"/>
  <c r="H37" i="18"/>
  <c r="AN33" i="18"/>
  <c r="AN42" i="18" s="1"/>
  <c r="AN46" i="18" s="1"/>
  <c r="AN47" i="18" s="1"/>
  <c r="AM33" i="18"/>
  <c r="AM42" i="18" s="1"/>
  <c r="AM46" i="18" s="1"/>
  <c r="AM47" i="18" s="1"/>
  <c r="Y33" i="18"/>
  <c r="Y42" i="18" s="1"/>
  <c r="Y46" i="18" s="1"/>
  <c r="Y47" i="18" s="1"/>
  <c r="S33" i="18"/>
  <c r="S42" i="18" s="1"/>
  <c r="S46" i="18" s="1"/>
  <c r="S47" i="18" s="1"/>
  <c r="D33" i="18"/>
  <c r="D42" i="18" s="1"/>
  <c r="AO32" i="18"/>
  <c r="AL32" i="18"/>
  <c r="AI32" i="18"/>
  <c r="AF32" i="18"/>
  <c r="AC32" i="18"/>
  <c r="Z32" i="18"/>
  <c r="W32" i="18"/>
  <c r="T32" i="18"/>
  <c r="Q32" i="18"/>
  <c r="N32" i="18"/>
  <c r="K32" i="18"/>
  <c r="H32" i="18"/>
  <c r="AN31" i="18"/>
  <c r="AM31" i="18"/>
  <c r="AK31" i="18"/>
  <c r="AJ31" i="18"/>
  <c r="AI31" i="18"/>
  <c r="AH31" i="18"/>
  <c r="AG31" i="18"/>
  <c r="AE31" i="18"/>
  <c r="AD31" i="18"/>
  <c r="AD33" i="18" s="1"/>
  <c r="AD42" i="18" s="1"/>
  <c r="AD46" i="18" s="1"/>
  <c r="AD47" i="18" s="1"/>
  <c r="AC31" i="18"/>
  <c r="AB31" i="18"/>
  <c r="AB33" i="18" s="1"/>
  <c r="AB42" i="18" s="1"/>
  <c r="AB46" i="18" s="1"/>
  <c r="AB47" i="18" s="1"/>
  <c r="AA31" i="18"/>
  <c r="Y31" i="18"/>
  <c r="X31" i="18"/>
  <c r="V31" i="18"/>
  <c r="U31" i="18"/>
  <c r="S31" i="18"/>
  <c r="R31" i="18"/>
  <c r="P31" i="18"/>
  <c r="O31" i="18"/>
  <c r="M31" i="18"/>
  <c r="L31" i="18"/>
  <c r="J31" i="18"/>
  <c r="J33" i="18" s="1"/>
  <c r="J42" i="18" s="1"/>
  <c r="J46" i="18" s="1"/>
  <c r="J47" i="18" s="1"/>
  <c r="I31" i="18"/>
  <c r="G31" i="18"/>
  <c r="D31" i="18"/>
  <c r="AO30" i="18"/>
  <c r="AL30" i="18"/>
  <c r="AI30" i="18"/>
  <c r="AF30" i="18"/>
  <c r="AC30" i="18"/>
  <c r="Z30" i="18"/>
  <c r="W30" i="18"/>
  <c r="T30" i="18"/>
  <c r="Q30" i="18"/>
  <c r="N30" i="18"/>
  <c r="K30" i="18"/>
  <c r="F30" i="18"/>
  <c r="F31" i="18" s="1"/>
  <c r="AO29" i="18"/>
  <c r="AL29" i="18"/>
  <c r="AI29" i="18"/>
  <c r="AF29" i="18"/>
  <c r="AC29" i="18"/>
  <c r="Z29" i="18"/>
  <c r="W29" i="18"/>
  <c r="T29" i="18"/>
  <c r="Q29" i="18"/>
  <c r="N29" i="18"/>
  <c r="K29" i="18"/>
  <c r="H29" i="18"/>
  <c r="C29" i="18" s="1"/>
  <c r="AO28" i="18"/>
  <c r="AL28" i="18"/>
  <c r="AI28" i="18"/>
  <c r="AF28" i="18"/>
  <c r="AC28" i="18"/>
  <c r="Z28" i="18"/>
  <c r="W28" i="18"/>
  <c r="T28" i="18"/>
  <c r="T31" i="18" s="1"/>
  <c r="Q28" i="18"/>
  <c r="N28" i="18"/>
  <c r="K28" i="18"/>
  <c r="H28" i="18"/>
  <c r="AO27" i="18"/>
  <c r="AL27" i="18"/>
  <c r="AI27" i="18"/>
  <c r="AF27" i="18"/>
  <c r="AC27" i="18"/>
  <c r="Z27" i="18"/>
  <c r="W27" i="18"/>
  <c r="T27" i="18"/>
  <c r="Q27" i="18"/>
  <c r="N27" i="18"/>
  <c r="N31" i="18" s="1"/>
  <c r="K27" i="18"/>
  <c r="H27" i="18"/>
  <c r="AO26" i="18"/>
  <c r="AO31" i="18" s="1"/>
  <c r="AL26" i="18"/>
  <c r="AL31" i="18" s="1"/>
  <c r="AI26" i="18"/>
  <c r="AF26" i="18"/>
  <c r="AF31" i="18" s="1"/>
  <c r="AC26" i="18"/>
  <c r="Z26" i="18"/>
  <c r="Z31" i="18" s="1"/>
  <c r="W26" i="18"/>
  <c r="W31" i="18" s="1"/>
  <c r="T26" i="18"/>
  <c r="Q26" i="18"/>
  <c r="Q31" i="18" s="1"/>
  <c r="N26" i="18"/>
  <c r="K26" i="18"/>
  <c r="C26" i="18" s="1"/>
  <c r="H26" i="18"/>
  <c r="AN22" i="18"/>
  <c r="AM22" i="18"/>
  <c r="AK22" i="18"/>
  <c r="AK33" i="18" s="1"/>
  <c r="AK42" i="18" s="1"/>
  <c r="AK46" i="18" s="1"/>
  <c r="AK47" i="18" s="1"/>
  <c r="AJ22" i="18"/>
  <c r="AJ33" i="18" s="1"/>
  <c r="AJ42" i="18" s="1"/>
  <c r="AJ46" i="18" s="1"/>
  <c r="AJ47" i="18" s="1"/>
  <c r="AH22" i="18"/>
  <c r="AH33" i="18" s="1"/>
  <c r="AH42" i="18" s="1"/>
  <c r="AH46" i="18" s="1"/>
  <c r="AH47" i="18" s="1"/>
  <c r="AG22" i="18"/>
  <c r="AG33" i="18" s="1"/>
  <c r="AG42" i="18" s="1"/>
  <c r="AG46" i="18" s="1"/>
  <c r="AG47" i="18" s="1"/>
  <c r="AE22" i="18"/>
  <c r="AE33" i="18" s="1"/>
  <c r="AE42" i="18" s="1"/>
  <c r="AE46" i="18" s="1"/>
  <c r="AE47" i="18" s="1"/>
  <c r="AD22" i="18"/>
  <c r="AB22" i="18"/>
  <c r="AA22" i="18"/>
  <c r="AA33" i="18" s="1"/>
  <c r="AA42" i="18" s="1"/>
  <c r="AA46" i="18" s="1"/>
  <c r="AA47" i="18" s="1"/>
  <c r="Y22" i="18"/>
  <c r="X22" i="18"/>
  <c r="X33" i="18" s="1"/>
  <c r="X42" i="18" s="1"/>
  <c r="X46" i="18" s="1"/>
  <c r="X47" i="18" s="1"/>
  <c r="V22" i="18"/>
  <c r="V33" i="18" s="1"/>
  <c r="V42" i="18" s="1"/>
  <c r="V46" i="18" s="1"/>
  <c r="V47" i="18" s="1"/>
  <c r="U22" i="18"/>
  <c r="U33" i="18" s="1"/>
  <c r="U42" i="18" s="1"/>
  <c r="U46" i="18" s="1"/>
  <c r="U47" i="18" s="1"/>
  <c r="S22" i="18"/>
  <c r="R22" i="18"/>
  <c r="R33" i="18" s="1"/>
  <c r="R42" i="18" s="1"/>
  <c r="R46" i="18" s="1"/>
  <c r="M22" i="18"/>
  <c r="M33" i="18" s="1"/>
  <c r="M42" i="18" s="1"/>
  <c r="M46" i="18" s="1"/>
  <c r="M47" i="18" s="1"/>
  <c r="L22" i="18"/>
  <c r="L33" i="18" s="1"/>
  <c r="L42" i="18" s="1"/>
  <c r="L46" i="18" s="1"/>
  <c r="J22" i="18"/>
  <c r="I22" i="18"/>
  <c r="I33" i="18" s="1"/>
  <c r="I42" i="18" s="1"/>
  <c r="I46" i="18" s="1"/>
  <c r="I47" i="18" s="1"/>
  <c r="F22" i="18"/>
  <c r="F33" i="18" s="1"/>
  <c r="F42" i="18" s="1"/>
  <c r="F46" i="18" s="1"/>
  <c r="F47" i="18" s="1"/>
  <c r="D22" i="18"/>
  <c r="AO21" i="18"/>
  <c r="AL21" i="18"/>
  <c r="AI21" i="18"/>
  <c r="AF21" i="18"/>
  <c r="AC21" i="18"/>
  <c r="Z21" i="18"/>
  <c r="W21" i="18"/>
  <c r="T21" i="18"/>
  <c r="Q21" i="18"/>
  <c r="N21" i="18"/>
  <c r="N22" i="18" s="1"/>
  <c r="N33" i="18" s="1"/>
  <c r="K21" i="18"/>
  <c r="H21" i="18"/>
  <c r="C21" i="18" s="1"/>
  <c r="AO20" i="18"/>
  <c r="AL20" i="18"/>
  <c r="AI20" i="18"/>
  <c r="AF20" i="18"/>
  <c r="AC20" i="18"/>
  <c r="Z20" i="18"/>
  <c r="W20" i="18"/>
  <c r="T20" i="18"/>
  <c r="Q20" i="18"/>
  <c r="N20" i="18"/>
  <c r="K20" i="18"/>
  <c r="H20" i="18"/>
  <c r="C20" i="18" s="1"/>
  <c r="AO19" i="18"/>
  <c r="AL19" i="18"/>
  <c r="AI19" i="18"/>
  <c r="AF19" i="18"/>
  <c r="AC19" i="18"/>
  <c r="Z19" i="18"/>
  <c r="W19" i="18"/>
  <c r="T19" i="18"/>
  <c r="Q19" i="18"/>
  <c r="N19" i="18"/>
  <c r="K19" i="18"/>
  <c r="H19" i="18"/>
  <c r="C19" i="18" s="1"/>
  <c r="AO18" i="18"/>
  <c r="AL18" i="18"/>
  <c r="AI18" i="18"/>
  <c r="AF18" i="18"/>
  <c r="AC18" i="18"/>
  <c r="Z18" i="18"/>
  <c r="W18" i="18"/>
  <c r="T18" i="18"/>
  <c r="Q18" i="18"/>
  <c r="N18" i="18"/>
  <c r="K18" i="18"/>
  <c r="H18" i="18"/>
  <c r="C18" i="18" s="1"/>
  <c r="AO17" i="18"/>
  <c r="AL17" i="18"/>
  <c r="AI17" i="18"/>
  <c r="AF17" i="18"/>
  <c r="AC17" i="18"/>
  <c r="Z17" i="18"/>
  <c r="W17" i="18"/>
  <c r="T17" i="18"/>
  <c r="Q17" i="18"/>
  <c r="N17" i="18"/>
  <c r="K17" i="18"/>
  <c r="H17" i="18"/>
  <c r="C17" i="18"/>
  <c r="AO16" i="18"/>
  <c r="AL16" i="18"/>
  <c r="AI16" i="18"/>
  <c r="AF16" i="18"/>
  <c r="AC16" i="18"/>
  <c r="Z16" i="18"/>
  <c r="W16" i="18"/>
  <c r="T16" i="18"/>
  <c r="Q16" i="18"/>
  <c r="N16" i="18"/>
  <c r="C16" i="18" s="1"/>
  <c r="K16" i="18"/>
  <c r="H16" i="18"/>
  <c r="AO15" i="18"/>
  <c r="AL15" i="18"/>
  <c r="AI15" i="18"/>
  <c r="AF15" i="18"/>
  <c r="AC15" i="18"/>
  <c r="Z15" i="18"/>
  <c r="W15" i="18"/>
  <c r="T15" i="18"/>
  <c r="Q15" i="18"/>
  <c r="N15" i="18"/>
  <c r="K15" i="18"/>
  <c r="H15" i="18"/>
  <c r="C15" i="18"/>
  <c r="AO14" i="18"/>
  <c r="AL14" i="18"/>
  <c r="AI14" i="18"/>
  <c r="AF14" i="18"/>
  <c r="AC14" i="18"/>
  <c r="Z14" i="18"/>
  <c r="W14" i="18"/>
  <c r="T14" i="18"/>
  <c r="Q14" i="18"/>
  <c r="N14" i="18"/>
  <c r="K14" i="18"/>
  <c r="C14" i="18" s="1"/>
  <c r="H14" i="18"/>
  <c r="AO13" i="18"/>
  <c r="AL13" i="18"/>
  <c r="AI13" i="18"/>
  <c r="AF13" i="18"/>
  <c r="AC13" i="18"/>
  <c r="Z13" i="18"/>
  <c r="W13" i="18"/>
  <c r="T13" i="18"/>
  <c r="P13" i="18"/>
  <c r="P22" i="18" s="1"/>
  <c r="P33" i="18" s="1"/>
  <c r="P42" i="18" s="1"/>
  <c r="P46" i="18" s="1"/>
  <c r="P47" i="18" s="1"/>
  <c r="O13" i="18"/>
  <c r="Q13" i="18" s="1"/>
  <c r="C13" i="18" s="1"/>
  <c r="N13" i="18"/>
  <c r="K13" i="18"/>
  <c r="H13" i="18"/>
  <c r="G13" i="18"/>
  <c r="G22" i="18" s="1"/>
  <c r="G33" i="18" s="1"/>
  <c r="G42" i="18" s="1"/>
  <c r="G46" i="18" s="1"/>
  <c r="G47" i="18" s="1"/>
  <c r="AC12" i="18"/>
  <c r="Z12" i="18"/>
  <c r="W12" i="18"/>
  <c r="T12" i="18"/>
  <c r="Q12" i="18"/>
  <c r="N12" i="18"/>
  <c r="C12" i="18" s="1"/>
  <c r="K12" i="18"/>
  <c r="H12" i="18"/>
  <c r="AO11" i="18"/>
  <c r="AL11" i="18"/>
  <c r="AI11" i="18"/>
  <c r="AF11" i="18"/>
  <c r="AC11" i="18"/>
  <c r="Z11" i="18"/>
  <c r="W11" i="18"/>
  <c r="T11" i="18"/>
  <c r="Q11" i="18"/>
  <c r="N11" i="18"/>
  <c r="K11" i="18"/>
  <c r="C11" i="18" s="1"/>
  <c r="H11" i="18"/>
  <c r="AC10" i="18"/>
  <c r="Z10" i="18"/>
  <c r="W10" i="18"/>
  <c r="T10" i="18"/>
  <c r="Q10" i="18"/>
  <c r="N10" i="18"/>
  <c r="K10" i="18"/>
  <c r="H10" i="18"/>
  <c r="C10" i="18"/>
  <c r="AC9" i="18"/>
  <c r="Z9" i="18"/>
  <c r="W9" i="18"/>
  <c r="T9" i="18"/>
  <c r="Q9" i="18"/>
  <c r="N9" i="18"/>
  <c r="K9" i="18"/>
  <c r="H9" i="18"/>
  <c r="C9" i="18"/>
  <c r="AC8" i="18"/>
  <c r="Z8" i="18"/>
  <c r="W8" i="18"/>
  <c r="T8" i="18"/>
  <c r="T22" i="18" s="1"/>
  <c r="T33" i="18" s="1"/>
  <c r="T42" i="18" s="1"/>
  <c r="Q8" i="18"/>
  <c r="N8" i="18"/>
  <c r="C8" i="18" s="1"/>
  <c r="K8" i="18"/>
  <c r="H8" i="18"/>
  <c r="AO7" i="18"/>
  <c r="AO22" i="18" s="1"/>
  <c r="AO33" i="18" s="1"/>
  <c r="AO42" i="18" s="1"/>
  <c r="AO46" i="18" s="1"/>
  <c r="AO47" i="18" s="1"/>
  <c r="AL7" i="18"/>
  <c r="AL22" i="18" s="1"/>
  <c r="AI7" i="18"/>
  <c r="AI22" i="18" s="1"/>
  <c r="AI33" i="18" s="1"/>
  <c r="AI42" i="18" s="1"/>
  <c r="AI46" i="18" s="1"/>
  <c r="AI47" i="18" s="1"/>
  <c r="AF7" i="18"/>
  <c r="AF22" i="18" s="1"/>
  <c r="AC7" i="18"/>
  <c r="AC22" i="18" s="1"/>
  <c r="AC33" i="18" s="1"/>
  <c r="Z7" i="18"/>
  <c r="Z22" i="18" s="1"/>
  <c r="W7" i="18"/>
  <c r="W22" i="18" s="1"/>
  <c r="T7" i="18"/>
  <c r="Q7" i="18"/>
  <c r="N7" i="18"/>
  <c r="K7" i="18"/>
  <c r="K22" i="18" s="1"/>
  <c r="H7" i="18"/>
  <c r="H22" i="18" s="1"/>
  <c r="F4" i="18"/>
  <c r="I4" i="18" s="1"/>
  <c r="F37" i="6"/>
  <c r="B36" i="4"/>
  <c r="C26" i="4"/>
  <c r="C9" i="4"/>
  <c r="C8" i="4"/>
  <c r="C6" i="4"/>
  <c r="C97" i="1"/>
  <c r="C93" i="1"/>
  <c r="C70" i="1"/>
  <c r="AA130" i="17"/>
  <c r="X130" i="17"/>
  <c r="U130" i="17"/>
  <c r="R130" i="17"/>
  <c r="L130" i="17"/>
  <c r="I130" i="17"/>
  <c r="C129" i="17"/>
  <c r="C123" i="17"/>
  <c r="D33" i="6" s="1"/>
  <c r="C122" i="17"/>
  <c r="D32" i="6" s="1"/>
  <c r="C121" i="17"/>
  <c r="C120" i="17"/>
  <c r="D30" i="6" s="1"/>
  <c r="C119" i="17"/>
  <c r="D29" i="6" s="1"/>
  <c r="F125" i="17"/>
  <c r="F130" i="17" s="1"/>
  <c r="C118" i="17"/>
  <c r="D28" i="6" s="1"/>
  <c r="C117" i="17"/>
  <c r="C116" i="17"/>
  <c r="D27" i="6" s="1"/>
  <c r="C115" i="17"/>
  <c r="D26" i="6" s="1"/>
  <c r="C114" i="17"/>
  <c r="C113" i="17"/>
  <c r="C112" i="17"/>
  <c r="C111" i="17"/>
  <c r="C110" i="17"/>
  <c r="C109" i="17"/>
  <c r="AJ97" i="17"/>
  <c r="AO96" i="17"/>
  <c r="AN96" i="17"/>
  <c r="AN97" i="17" s="1"/>
  <c r="AN99" i="17" s="1"/>
  <c r="AM96" i="17"/>
  <c r="AK96" i="17"/>
  <c r="AK97" i="17" s="1"/>
  <c r="AJ96" i="17"/>
  <c r="AH96" i="17"/>
  <c r="AG96" i="17"/>
  <c r="AE96" i="17"/>
  <c r="AD96" i="17"/>
  <c r="AB96" i="17"/>
  <c r="AA96" i="17"/>
  <c r="AA97" i="17" s="1"/>
  <c r="Y96" i="17"/>
  <c r="X96" i="17"/>
  <c r="V96" i="17"/>
  <c r="V97" i="17" s="1"/>
  <c r="U96" i="17"/>
  <c r="U97" i="17" s="1"/>
  <c r="S96" i="17"/>
  <c r="R96" i="17"/>
  <c r="R97" i="17" s="1"/>
  <c r="P96" i="17"/>
  <c r="P97" i="17" s="1"/>
  <c r="O96" i="17"/>
  <c r="M96" i="17"/>
  <c r="L96" i="17"/>
  <c r="J96" i="17"/>
  <c r="I96" i="17"/>
  <c r="F96" i="17"/>
  <c r="AO95" i="17"/>
  <c r="AL95" i="17"/>
  <c r="AI95" i="17"/>
  <c r="AF95" i="17"/>
  <c r="AC95" i="17"/>
  <c r="Z95" i="17"/>
  <c r="W95" i="17"/>
  <c r="T95" i="17"/>
  <c r="Q95" i="17"/>
  <c r="N95" i="17"/>
  <c r="K95" i="17"/>
  <c r="H95" i="17"/>
  <c r="G96" i="17"/>
  <c r="G97" i="17" s="1"/>
  <c r="G99" i="17" s="1"/>
  <c r="AO94" i="17"/>
  <c r="AL94" i="17"/>
  <c r="AI94" i="17"/>
  <c r="AF94" i="17"/>
  <c r="AC94" i="17"/>
  <c r="Z94" i="17"/>
  <c r="W94" i="17"/>
  <c r="T94" i="17"/>
  <c r="Q94" i="17"/>
  <c r="N94" i="17"/>
  <c r="K94" i="17"/>
  <c r="H94" i="17"/>
  <c r="AO93" i="17"/>
  <c r="AL93" i="17"/>
  <c r="AI93" i="17"/>
  <c r="AF93" i="17"/>
  <c r="AC93" i="17"/>
  <c r="Z93" i="17"/>
  <c r="W93" i="17"/>
  <c r="T93" i="17"/>
  <c r="Q93" i="17"/>
  <c r="N93" i="17"/>
  <c r="K93" i="17"/>
  <c r="H93" i="17"/>
  <c r="AO92" i="17"/>
  <c r="AL92" i="17"/>
  <c r="AL96" i="17" s="1"/>
  <c r="AI92" i="17"/>
  <c r="AI96" i="17" s="1"/>
  <c r="AF92" i="17"/>
  <c r="AF96" i="17" s="1"/>
  <c r="AC92" i="17"/>
  <c r="Z92" i="17"/>
  <c r="Z96" i="17" s="1"/>
  <c r="W92" i="17"/>
  <c r="T92" i="17"/>
  <c r="Q92" i="17"/>
  <c r="N92" i="17"/>
  <c r="N96" i="17" s="1"/>
  <c r="K92" i="17"/>
  <c r="H92" i="17"/>
  <c r="C92" i="17" s="1"/>
  <c r="AN89" i="17"/>
  <c r="AM89" i="17"/>
  <c r="AM97" i="17" s="1"/>
  <c r="AM99" i="17" s="1"/>
  <c r="AK89" i="17"/>
  <c r="AJ89" i="17"/>
  <c r="AI89" i="17"/>
  <c r="AH89" i="17"/>
  <c r="AH97" i="17" s="1"/>
  <c r="AG89" i="17"/>
  <c r="AG97" i="17" s="1"/>
  <c r="AF89" i="17"/>
  <c r="AE89" i="17"/>
  <c r="AE97" i="17" s="1"/>
  <c r="AD89" i="17"/>
  <c r="AD97" i="17" s="1"/>
  <c r="AB89" i="17"/>
  <c r="AB97" i="17" s="1"/>
  <c r="AB99" i="17" s="1"/>
  <c r="AA89" i="17"/>
  <c r="Z89" i="17"/>
  <c r="Z97" i="17" s="1"/>
  <c r="Y89" i="17"/>
  <c r="Y97" i="17" s="1"/>
  <c r="X89" i="17"/>
  <c r="X97" i="17" s="1"/>
  <c r="V89" i="17"/>
  <c r="U89" i="17"/>
  <c r="T89" i="17"/>
  <c r="S89" i="17"/>
  <c r="S97" i="17" s="1"/>
  <c r="S99" i="17" s="1"/>
  <c r="R89" i="17"/>
  <c r="P89" i="17"/>
  <c r="O89" i="17"/>
  <c r="M89" i="17"/>
  <c r="M97" i="17" s="1"/>
  <c r="L89" i="17"/>
  <c r="L97" i="17" s="1"/>
  <c r="K89" i="17"/>
  <c r="J89" i="17"/>
  <c r="J97" i="17" s="1"/>
  <c r="J99" i="17" s="1"/>
  <c r="I89" i="17"/>
  <c r="H89" i="17"/>
  <c r="G89" i="17"/>
  <c r="F89" i="17"/>
  <c r="AO88" i="17"/>
  <c r="AO89" i="17" s="1"/>
  <c r="AO97" i="17" s="1"/>
  <c r="AL88" i="17"/>
  <c r="AL89" i="17" s="1"/>
  <c r="AI88" i="17"/>
  <c r="AF88" i="17"/>
  <c r="AC88" i="17"/>
  <c r="AC89" i="17" s="1"/>
  <c r="Z88" i="17"/>
  <c r="W88" i="17"/>
  <c r="W89" i="17" s="1"/>
  <c r="T88" i="17"/>
  <c r="Q88" i="17"/>
  <c r="Q89" i="17" s="1"/>
  <c r="N88" i="17"/>
  <c r="N89" i="17" s="1"/>
  <c r="K88" i="17"/>
  <c r="H88" i="17"/>
  <c r="AO87" i="17"/>
  <c r="AL87" i="17"/>
  <c r="AI87" i="17"/>
  <c r="AF87" i="17"/>
  <c r="AC87" i="17"/>
  <c r="Z87" i="17"/>
  <c r="W87" i="17"/>
  <c r="T87" i="17"/>
  <c r="Q87" i="17"/>
  <c r="N87" i="17"/>
  <c r="K87" i="17"/>
  <c r="H87" i="17"/>
  <c r="AO86" i="17"/>
  <c r="AL86" i="17"/>
  <c r="AI86" i="17"/>
  <c r="AF86" i="17"/>
  <c r="AC86" i="17"/>
  <c r="Z86" i="17"/>
  <c r="W86" i="17"/>
  <c r="T86" i="17"/>
  <c r="Q86" i="17"/>
  <c r="N86" i="17"/>
  <c r="K86" i="17"/>
  <c r="H86" i="17"/>
  <c r="AN84" i="17"/>
  <c r="AM84" i="17"/>
  <c r="AL84" i="17"/>
  <c r="AK84" i="17"/>
  <c r="AK99" i="17" s="1"/>
  <c r="AJ84" i="17"/>
  <c r="AJ99" i="17" s="1"/>
  <c r="AH84" i="17"/>
  <c r="AH99" i="17" s="1"/>
  <c r="AG84" i="17"/>
  <c r="AG99" i="17" s="1"/>
  <c r="AE84" i="17"/>
  <c r="AD84" i="17"/>
  <c r="AB84" i="17"/>
  <c r="AA84" i="17"/>
  <c r="Y84" i="17"/>
  <c r="Y99" i="17" s="1"/>
  <c r="X84" i="17"/>
  <c r="X99" i="17" s="1"/>
  <c r="V84" i="17"/>
  <c r="U84" i="17"/>
  <c r="S84" i="17"/>
  <c r="R84" i="17"/>
  <c r="P84" i="17"/>
  <c r="O84" i="17"/>
  <c r="N84" i="17"/>
  <c r="M84" i="17"/>
  <c r="M99" i="17" s="1"/>
  <c r="L84" i="17"/>
  <c r="L99" i="17" s="1"/>
  <c r="J84" i="17"/>
  <c r="I84" i="17"/>
  <c r="G84" i="17"/>
  <c r="F84" i="17"/>
  <c r="AO83" i="17"/>
  <c r="AO84" i="17" s="1"/>
  <c r="AL83" i="17"/>
  <c r="AI83" i="17"/>
  <c r="AI84" i="17" s="1"/>
  <c r="AF83" i="17"/>
  <c r="AF84" i="17" s="1"/>
  <c r="AC83" i="17"/>
  <c r="AC84" i="17" s="1"/>
  <c r="Z83" i="17"/>
  <c r="Z84" i="17" s="1"/>
  <c r="Z99" i="17" s="1"/>
  <c r="W83" i="17"/>
  <c r="W84" i="17" s="1"/>
  <c r="T83" i="17"/>
  <c r="T84" i="17" s="1"/>
  <c r="Q83" i="17"/>
  <c r="Q84" i="17" s="1"/>
  <c r="N83" i="17"/>
  <c r="K83" i="17"/>
  <c r="K84" i="17" s="1"/>
  <c r="H83" i="17"/>
  <c r="H84" i="17" s="1"/>
  <c r="C81" i="17"/>
  <c r="AN73" i="17"/>
  <c r="AM73" i="17"/>
  <c r="AK73" i="17"/>
  <c r="AJ73" i="17"/>
  <c r="AH73" i="17"/>
  <c r="AG73" i="17"/>
  <c r="AE73" i="17"/>
  <c r="AD73" i="17"/>
  <c r="AB73" i="17"/>
  <c r="AA73" i="17"/>
  <c r="Y73" i="17"/>
  <c r="X73" i="17"/>
  <c r="V73" i="17"/>
  <c r="U73" i="17"/>
  <c r="S73" i="17"/>
  <c r="R73" i="17"/>
  <c r="P73" i="17"/>
  <c r="O73" i="17"/>
  <c r="N73" i="17"/>
  <c r="M73" i="17"/>
  <c r="L73" i="17"/>
  <c r="J73" i="17"/>
  <c r="I73" i="17"/>
  <c r="G73" i="17"/>
  <c r="F73" i="17"/>
  <c r="AO72" i="17"/>
  <c r="AL72" i="17"/>
  <c r="AI72" i="17"/>
  <c r="AF72" i="17"/>
  <c r="AC72" i="17"/>
  <c r="Z72" i="17"/>
  <c r="W72" i="17"/>
  <c r="W73" i="17" s="1"/>
  <c r="T72" i="17"/>
  <c r="Q72" i="17"/>
  <c r="N72" i="17"/>
  <c r="K72" i="17"/>
  <c r="H72" i="17"/>
  <c r="AO71" i="17"/>
  <c r="AL71" i="17"/>
  <c r="AI71" i="17"/>
  <c r="AF71" i="17"/>
  <c r="AC71" i="17"/>
  <c r="Z71" i="17"/>
  <c r="W71" i="17"/>
  <c r="T71" i="17"/>
  <c r="Q71" i="17"/>
  <c r="N71" i="17"/>
  <c r="K71" i="17"/>
  <c r="H71" i="17"/>
  <c r="AO70" i="17"/>
  <c r="AL70" i="17"/>
  <c r="AI70" i="17"/>
  <c r="AI73" i="17" s="1"/>
  <c r="AF70" i="17"/>
  <c r="AC70" i="17"/>
  <c r="Z70" i="17"/>
  <c r="W70" i="17"/>
  <c r="T70" i="17"/>
  <c r="Q70" i="17"/>
  <c r="N70" i="17"/>
  <c r="K70" i="17"/>
  <c r="H70" i="17"/>
  <c r="AO69" i="17"/>
  <c r="AO73" i="17" s="1"/>
  <c r="AL69" i="17"/>
  <c r="AL73" i="17" s="1"/>
  <c r="AI69" i="17"/>
  <c r="AF69" i="17"/>
  <c r="AC69" i="17"/>
  <c r="Z69" i="17"/>
  <c r="W69" i="17"/>
  <c r="T69" i="17"/>
  <c r="Q69" i="17"/>
  <c r="N69" i="17"/>
  <c r="K69" i="17"/>
  <c r="H69" i="17"/>
  <c r="C69" i="17" s="1"/>
  <c r="AJ66" i="17"/>
  <c r="AJ74" i="17" s="1"/>
  <c r="AA66" i="17"/>
  <c r="Y66" i="17"/>
  <c r="Y74" i="17" s="1"/>
  <c r="Y100" i="17" s="1"/>
  <c r="Y102" i="17" s="1"/>
  <c r="X66" i="17"/>
  <c r="P66" i="17"/>
  <c r="G66" i="17"/>
  <c r="AO65" i="17"/>
  <c r="AN65" i="17"/>
  <c r="AN66" i="17" s="1"/>
  <c r="AN74" i="17" s="1"/>
  <c r="AM65" i="17"/>
  <c r="AL65" i="17"/>
  <c r="AK65" i="17"/>
  <c r="AK66" i="17" s="1"/>
  <c r="AK74" i="17" s="1"/>
  <c r="AJ65" i="17"/>
  <c r="AI65" i="17"/>
  <c r="AH65" i="17"/>
  <c r="AG65" i="17"/>
  <c r="AF65" i="17"/>
  <c r="AE65" i="17"/>
  <c r="AD65" i="17"/>
  <c r="AC65" i="17"/>
  <c r="AB65" i="17"/>
  <c r="AA65" i="17"/>
  <c r="Z65" i="17"/>
  <c r="Y65" i="17"/>
  <c r="X65" i="17"/>
  <c r="W65" i="17"/>
  <c r="V65" i="17"/>
  <c r="V66" i="17" s="1"/>
  <c r="U65" i="17"/>
  <c r="T65" i="17"/>
  <c r="S65" i="17"/>
  <c r="R65" i="17"/>
  <c r="Q65" i="17"/>
  <c r="P65" i="17"/>
  <c r="O65" i="17"/>
  <c r="N65" i="17"/>
  <c r="M65" i="17"/>
  <c r="L65" i="17"/>
  <c r="K65" i="17"/>
  <c r="J65" i="17"/>
  <c r="I65" i="17"/>
  <c r="G65" i="17"/>
  <c r="F65" i="17"/>
  <c r="H64" i="17"/>
  <c r="H65" i="17" s="1"/>
  <c r="AO61" i="17"/>
  <c r="AO66" i="17" s="1"/>
  <c r="AN61" i="17"/>
  <c r="AM61" i="17"/>
  <c r="AM66" i="17" s="1"/>
  <c r="AM74" i="17" s="1"/>
  <c r="AM100" i="17" s="1"/>
  <c r="AL61" i="17"/>
  <c r="AL66" i="17" s="1"/>
  <c r="AL74" i="17" s="1"/>
  <c r="AK61" i="17"/>
  <c r="AJ61" i="17"/>
  <c r="AH61" i="17"/>
  <c r="AH66" i="17" s="1"/>
  <c r="AH74" i="17" s="1"/>
  <c r="AG61" i="17"/>
  <c r="AG66" i="17" s="1"/>
  <c r="AG74" i="17" s="1"/>
  <c r="AF61" i="17"/>
  <c r="AF66" i="17" s="1"/>
  <c r="AE61" i="17"/>
  <c r="AE66" i="17" s="1"/>
  <c r="AE74" i="17" s="1"/>
  <c r="AD61" i="17"/>
  <c r="AD66" i="17" s="1"/>
  <c r="AB61" i="17"/>
  <c r="AB66" i="17" s="1"/>
  <c r="AA61" i="17"/>
  <c r="Y61" i="17"/>
  <c r="X61" i="17"/>
  <c r="V61" i="17"/>
  <c r="U61" i="17"/>
  <c r="U66" i="17" s="1"/>
  <c r="S61" i="17"/>
  <c r="S66" i="17" s="1"/>
  <c r="R61" i="17"/>
  <c r="R66" i="17" s="1"/>
  <c r="P61" i="17"/>
  <c r="O61" i="17"/>
  <c r="O66" i="17" s="1"/>
  <c r="N61" i="17"/>
  <c r="N66" i="17" s="1"/>
  <c r="N74" i="17" s="1"/>
  <c r="M61" i="17"/>
  <c r="M66" i="17" s="1"/>
  <c r="M74" i="17" s="1"/>
  <c r="L61" i="17"/>
  <c r="L66" i="17" s="1"/>
  <c r="L74" i="17" s="1"/>
  <c r="J61" i="17"/>
  <c r="J66" i="17" s="1"/>
  <c r="I61" i="17"/>
  <c r="I66" i="17" s="1"/>
  <c r="G61" i="17"/>
  <c r="F61" i="17"/>
  <c r="F66" i="17" s="1"/>
  <c r="AO60" i="17"/>
  <c r="AL60" i="17"/>
  <c r="AI60" i="17"/>
  <c r="AF60" i="17"/>
  <c r="AC60" i="17"/>
  <c r="AC61" i="17" s="1"/>
  <c r="AC66" i="17" s="1"/>
  <c r="Z60" i="17"/>
  <c r="W60" i="17"/>
  <c r="W61" i="17" s="1"/>
  <c r="W66" i="17" s="1"/>
  <c r="T60" i="17"/>
  <c r="Q60" i="17"/>
  <c r="N60" i="17"/>
  <c r="K60" i="17"/>
  <c r="H60" i="17"/>
  <c r="AO59" i="17"/>
  <c r="AL59" i="17"/>
  <c r="AI59" i="17"/>
  <c r="AI61" i="17" s="1"/>
  <c r="AI66" i="17" s="1"/>
  <c r="AI74" i="17" s="1"/>
  <c r="AF59" i="17"/>
  <c r="AC59" i="17"/>
  <c r="Z59" i="17"/>
  <c r="Z61" i="17" s="1"/>
  <c r="Z66" i="17" s="1"/>
  <c r="W59" i="17"/>
  <c r="T59" i="17"/>
  <c r="Q59" i="17"/>
  <c r="N59" i="17"/>
  <c r="K59" i="17"/>
  <c r="H59" i="17"/>
  <c r="C53" i="17"/>
  <c r="A50" i="17"/>
  <c r="AO41" i="17"/>
  <c r="AL41" i="17"/>
  <c r="AI41" i="17"/>
  <c r="AF41" i="17"/>
  <c r="AC41" i="17"/>
  <c r="Z41" i="17"/>
  <c r="W41" i="17"/>
  <c r="T41" i="17"/>
  <c r="Q41" i="17"/>
  <c r="N41" i="17"/>
  <c r="K41" i="17"/>
  <c r="H41" i="17"/>
  <c r="AN40" i="17"/>
  <c r="AM40" i="17"/>
  <c r="AK40" i="17"/>
  <c r="AJ40" i="17"/>
  <c r="AH40" i="17"/>
  <c r="AG40" i="17"/>
  <c r="AE40" i="17"/>
  <c r="AD40" i="17"/>
  <c r="AB40" i="17"/>
  <c r="AA40" i="17"/>
  <c r="Y40" i="17"/>
  <c r="X40" i="17"/>
  <c r="V40" i="17"/>
  <c r="U40" i="17"/>
  <c r="S40" i="17"/>
  <c r="R40" i="17"/>
  <c r="P40" i="17"/>
  <c r="O40" i="17"/>
  <c r="M40" i="17"/>
  <c r="L40" i="17"/>
  <c r="J40" i="17"/>
  <c r="I40" i="17"/>
  <c r="G40" i="17"/>
  <c r="F40" i="17"/>
  <c r="F42" i="17" s="1"/>
  <c r="D40" i="17"/>
  <c r="AO39" i="17"/>
  <c r="AL39" i="17"/>
  <c r="C39" i="17" s="1"/>
  <c r="AI39" i="17"/>
  <c r="AF39" i="17"/>
  <c r="AC39" i="17"/>
  <c r="Z39" i="17"/>
  <c r="W39" i="17"/>
  <c r="T39" i="17"/>
  <c r="Q39" i="17"/>
  <c r="N39" i="17"/>
  <c r="K39" i="17"/>
  <c r="H39" i="17"/>
  <c r="AO38" i="17"/>
  <c r="AL38" i="17"/>
  <c r="AL40" i="17" s="1"/>
  <c r="AI38" i="17"/>
  <c r="AF38" i="17"/>
  <c r="AC38" i="17"/>
  <c r="Z38" i="17"/>
  <c r="W38" i="17"/>
  <c r="T38" i="17"/>
  <c r="Q38" i="17"/>
  <c r="N38" i="17"/>
  <c r="K38" i="17"/>
  <c r="H38" i="17"/>
  <c r="AO37" i="17"/>
  <c r="AO40" i="17" s="1"/>
  <c r="AL37" i="17"/>
  <c r="AI37" i="17"/>
  <c r="AI40" i="17" s="1"/>
  <c r="AF37" i="17"/>
  <c r="AF40" i="17" s="1"/>
  <c r="AC37" i="17"/>
  <c r="AC40" i="17" s="1"/>
  <c r="Z37" i="17"/>
  <c r="Z40" i="17" s="1"/>
  <c r="W37" i="17"/>
  <c r="W40" i="17" s="1"/>
  <c r="T37" i="17"/>
  <c r="T40" i="17" s="1"/>
  <c r="Q37" i="17"/>
  <c r="Q40" i="17" s="1"/>
  <c r="N37" i="17"/>
  <c r="N40" i="17" s="1"/>
  <c r="K37" i="17"/>
  <c r="H37" i="17"/>
  <c r="AN33" i="17"/>
  <c r="AN42" i="17" s="1"/>
  <c r="AN46" i="17" s="1"/>
  <c r="AN47" i="17" s="1"/>
  <c r="AM33" i="17"/>
  <c r="AM42" i="17" s="1"/>
  <c r="AM46" i="17" s="1"/>
  <c r="AM47" i="17" s="1"/>
  <c r="Y33" i="17"/>
  <c r="Y42" i="17" s="1"/>
  <c r="Y46" i="17" s="1"/>
  <c r="Y47" i="17" s="1"/>
  <c r="S33" i="17"/>
  <c r="S42" i="17" s="1"/>
  <c r="S46" i="17" s="1"/>
  <c r="S47" i="17" s="1"/>
  <c r="D33" i="17"/>
  <c r="D42" i="17" s="1"/>
  <c r="AO32" i="17"/>
  <c r="AL32" i="17"/>
  <c r="AI32" i="17"/>
  <c r="AF32" i="17"/>
  <c r="AC32" i="17"/>
  <c r="Z32" i="17"/>
  <c r="W32" i="17"/>
  <c r="T32" i="17"/>
  <c r="Q32" i="17"/>
  <c r="N32" i="17"/>
  <c r="K32" i="17"/>
  <c r="H32" i="17"/>
  <c r="AN31" i="17"/>
  <c r="AM31" i="17"/>
  <c r="AL31" i="17"/>
  <c r="AK31" i="17"/>
  <c r="AJ31" i="17"/>
  <c r="AH31" i="17"/>
  <c r="AG31" i="17"/>
  <c r="AE31" i="17"/>
  <c r="AD31" i="17"/>
  <c r="AB31" i="17"/>
  <c r="AA31" i="17"/>
  <c r="Y31" i="17"/>
  <c r="X31" i="17"/>
  <c r="V31" i="17"/>
  <c r="U31" i="17"/>
  <c r="S31" i="17"/>
  <c r="R31" i="17"/>
  <c r="P31" i="17"/>
  <c r="O31" i="17"/>
  <c r="M31" i="17"/>
  <c r="L31" i="17"/>
  <c r="J31" i="17"/>
  <c r="I31" i="17"/>
  <c r="G31" i="17"/>
  <c r="D31" i="17"/>
  <c r="AO30" i="17"/>
  <c r="AL30" i="17"/>
  <c r="AI30" i="17"/>
  <c r="AF30" i="17"/>
  <c r="AC30" i="17"/>
  <c r="Z30" i="17"/>
  <c r="W30" i="17"/>
  <c r="T30" i="17"/>
  <c r="Q30" i="17"/>
  <c r="N30" i="17"/>
  <c r="K30" i="17"/>
  <c r="F31" i="17"/>
  <c r="AO29" i="17"/>
  <c r="AL29" i="17"/>
  <c r="AI29" i="17"/>
  <c r="AF29" i="17"/>
  <c r="AC29" i="17"/>
  <c r="Z29" i="17"/>
  <c r="W29" i="17"/>
  <c r="T29" i="17"/>
  <c r="Q29" i="17"/>
  <c r="N29" i="17"/>
  <c r="K29" i="17"/>
  <c r="H29" i="17"/>
  <c r="C29" i="17" s="1"/>
  <c r="C28" i="1" s="1"/>
  <c r="AO28" i="17"/>
  <c r="AL28" i="17"/>
  <c r="AI28" i="17"/>
  <c r="AI31" i="17" s="1"/>
  <c r="AF28" i="17"/>
  <c r="AC28" i="17"/>
  <c r="Z28" i="17"/>
  <c r="W28" i="17"/>
  <c r="T28" i="17"/>
  <c r="Q28" i="17"/>
  <c r="N28" i="17"/>
  <c r="K28" i="17"/>
  <c r="H28" i="17"/>
  <c r="AO27" i="17"/>
  <c r="AL27" i="17"/>
  <c r="AI27" i="17"/>
  <c r="AF27" i="17"/>
  <c r="AC27" i="17"/>
  <c r="Z27" i="17"/>
  <c r="W27" i="17"/>
  <c r="T27" i="17"/>
  <c r="Q27" i="17"/>
  <c r="N27" i="17"/>
  <c r="K27" i="17"/>
  <c r="H27" i="17"/>
  <c r="AO26" i="17"/>
  <c r="AL26" i="17"/>
  <c r="AI26" i="17"/>
  <c r="AF26" i="17"/>
  <c r="AC26" i="17"/>
  <c r="Z26" i="17"/>
  <c r="W26" i="17"/>
  <c r="T26" i="17"/>
  <c r="Q26" i="17"/>
  <c r="N26" i="17"/>
  <c r="N31" i="17" s="1"/>
  <c r="K26" i="17"/>
  <c r="H26" i="17"/>
  <c r="AO22" i="17"/>
  <c r="AN22" i="17"/>
  <c r="AM22" i="17"/>
  <c r="AL22" i="17"/>
  <c r="AL33" i="17" s="1"/>
  <c r="AK22" i="17"/>
  <c r="AK33" i="17" s="1"/>
  <c r="AK42" i="17" s="1"/>
  <c r="AK46" i="17" s="1"/>
  <c r="AK47" i="17" s="1"/>
  <c r="AJ22" i="17"/>
  <c r="AJ33" i="17" s="1"/>
  <c r="AJ42" i="17" s="1"/>
  <c r="AJ46" i="17" s="1"/>
  <c r="AJ47" i="17" s="1"/>
  <c r="AH22" i="17"/>
  <c r="AH33" i="17" s="1"/>
  <c r="AH42" i="17" s="1"/>
  <c r="AH46" i="17" s="1"/>
  <c r="AH47" i="17" s="1"/>
  <c r="AG22" i="17"/>
  <c r="AG33" i="17" s="1"/>
  <c r="AG42" i="17" s="1"/>
  <c r="AG46" i="17" s="1"/>
  <c r="AG47" i="17" s="1"/>
  <c r="AE22" i="17"/>
  <c r="AE33" i="17" s="1"/>
  <c r="AE42" i="17" s="1"/>
  <c r="AE46" i="17" s="1"/>
  <c r="AE47" i="17" s="1"/>
  <c r="AD22" i="17"/>
  <c r="AB22" i="17"/>
  <c r="AB33" i="17" s="1"/>
  <c r="AB42" i="17" s="1"/>
  <c r="AA22" i="17"/>
  <c r="Y22" i="17"/>
  <c r="X22" i="17"/>
  <c r="V22" i="17"/>
  <c r="V33" i="17" s="1"/>
  <c r="V42" i="17" s="1"/>
  <c r="V46" i="17" s="1"/>
  <c r="V47" i="17" s="1"/>
  <c r="U22" i="17"/>
  <c r="S22" i="17"/>
  <c r="R22" i="17"/>
  <c r="P22" i="17"/>
  <c r="P33" i="17" s="1"/>
  <c r="P42" i="17" s="1"/>
  <c r="P46" i="17" s="1"/>
  <c r="P47" i="17" s="1"/>
  <c r="O22" i="17"/>
  <c r="M22" i="17"/>
  <c r="M33" i="17" s="1"/>
  <c r="M42" i="17" s="1"/>
  <c r="M46" i="17" s="1"/>
  <c r="M47" i="17" s="1"/>
  <c r="L22" i="17"/>
  <c r="L33" i="17" s="1"/>
  <c r="L42" i="17" s="1"/>
  <c r="L46" i="17" s="1"/>
  <c r="J22" i="17"/>
  <c r="I22" i="17"/>
  <c r="D22" i="17"/>
  <c r="AO21" i="17"/>
  <c r="AL21" i="17"/>
  <c r="AI21" i="17"/>
  <c r="AF21" i="17"/>
  <c r="AC21" i="17"/>
  <c r="Z21" i="17"/>
  <c r="W21" i="17"/>
  <c r="T21" i="17"/>
  <c r="Q21" i="17"/>
  <c r="N21" i="17"/>
  <c r="K21" i="17"/>
  <c r="H21" i="17"/>
  <c r="AO20" i="17"/>
  <c r="AL20" i="17"/>
  <c r="AI20" i="17"/>
  <c r="AF20" i="17"/>
  <c r="AC20" i="17"/>
  <c r="Z20" i="17"/>
  <c r="W20" i="17"/>
  <c r="T20" i="17"/>
  <c r="Q20" i="17"/>
  <c r="N20" i="17"/>
  <c r="K20" i="17"/>
  <c r="H20" i="17"/>
  <c r="AO19" i="17"/>
  <c r="AL19" i="17"/>
  <c r="AI19" i="17"/>
  <c r="AI22" i="17" s="1"/>
  <c r="AI33" i="17" s="1"/>
  <c r="AI42" i="17" s="1"/>
  <c r="AI46" i="17" s="1"/>
  <c r="AI47" i="17" s="1"/>
  <c r="AF19" i="17"/>
  <c r="AC19" i="17"/>
  <c r="Z19" i="17"/>
  <c r="W19" i="17"/>
  <c r="T19" i="17"/>
  <c r="Q19" i="17"/>
  <c r="N19" i="17"/>
  <c r="K19" i="17"/>
  <c r="H19" i="17"/>
  <c r="AO18" i="17"/>
  <c r="AL18" i="17"/>
  <c r="AI18" i="17"/>
  <c r="AF18" i="17"/>
  <c r="AC18" i="17"/>
  <c r="Z18" i="17"/>
  <c r="W18" i="17"/>
  <c r="T18" i="17"/>
  <c r="Q18" i="17"/>
  <c r="N18" i="17"/>
  <c r="K18" i="17"/>
  <c r="H18" i="17"/>
  <c r="AO17" i="17"/>
  <c r="AL17" i="17"/>
  <c r="AI17" i="17"/>
  <c r="AF17" i="17"/>
  <c r="AC17" i="17"/>
  <c r="Z17" i="17"/>
  <c r="W17" i="17"/>
  <c r="T17" i="17"/>
  <c r="Q17" i="17"/>
  <c r="N17" i="17"/>
  <c r="K17" i="17"/>
  <c r="H17" i="17"/>
  <c r="AO16" i="17"/>
  <c r="AL16" i="17"/>
  <c r="AI16" i="17"/>
  <c r="AF16" i="17"/>
  <c r="AC16" i="17"/>
  <c r="Z16" i="17"/>
  <c r="W16" i="17"/>
  <c r="T16" i="17"/>
  <c r="Q16" i="17"/>
  <c r="N16" i="17"/>
  <c r="K16" i="17"/>
  <c r="H16" i="17"/>
  <c r="AO15" i="17"/>
  <c r="AL15" i="17"/>
  <c r="AI15" i="17"/>
  <c r="AF15" i="17"/>
  <c r="AC15" i="17"/>
  <c r="Z15" i="17"/>
  <c r="W15" i="17"/>
  <c r="T15" i="17"/>
  <c r="Q15" i="17"/>
  <c r="N15" i="17"/>
  <c r="K15" i="17"/>
  <c r="H15" i="17"/>
  <c r="AO14" i="17"/>
  <c r="AL14" i="17"/>
  <c r="AI14" i="17"/>
  <c r="AF14" i="17"/>
  <c r="AC14" i="17"/>
  <c r="Z14" i="17"/>
  <c r="W14" i="17"/>
  <c r="T14" i="17"/>
  <c r="Q14" i="17"/>
  <c r="N14" i="17"/>
  <c r="K14" i="17"/>
  <c r="H14" i="17"/>
  <c r="AO13" i="17"/>
  <c r="AL13" i="17"/>
  <c r="AI13" i="17"/>
  <c r="AF13" i="17"/>
  <c r="AC13" i="17"/>
  <c r="Z13" i="17"/>
  <c r="W13" i="17"/>
  <c r="T13" i="17"/>
  <c r="Q13" i="17"/>
  <c r="N13" i="17"/>
  <c r="K13" i="17"/>
  <c r="H13" i="17"/>
  <c r="G13" i="17"/>
  <c r="G22" i="17" s="1"/>
  <c r="G33" i="17" s="1"/>
  <c r="G42" i="17" s="1"/>
  <c r="G46" i="17" s="1"/>
  <c r="G47" i="17" s="1"/>
  <c r="AC12" i="17"/>
  <c r="Z12" i="17"/>
  <c r="W12" i="17"/>
  <c r="T12" i="17"/>
  <c r="Q12" i="17"/>
  <c r="N12" i="17"/>
  <c r="K12" i="17"/>
  <c r="H12" i="17"/>
  <c r="C12" i="17" s="1"/>
  <c r="C11" i="1" s="1"/>
  <c r="AO11" i="17"/>
  <c r="AL11" i="17"/>
  <c r="AI11" i="17"/>
  <c r="AF11" i="17"/>
  <c r="AC11" i="17"/>
  <c r="Z11" i="17"/>
  <c r="W11" i="17"/>
  <c r="T11" i="17"/>
  <c r="Q11" i="17"/>
  <c r="N11" i="17"/>
  <c r="K11" i="17"/>
  <c r="H11" i="17"/>
  <c r="C11" i="17" s="1"/>
  <c r="C10" i="1" s="1"/>
  <c r="AC10" i="17"/>
  <c r="Z10" i="17"/>
  <c r="W10" i="17"/>
  <c r="T10" i="17"/>
  <c r="Q10" i="17"/>
  <c r="N10" i="17"/>
  <c r="K10" i="17"/>
  <c r="H10" i="17"/>
  <c r="AC9" i="17"/>
  <c r="Z9" i="17"/>
  <c r="W9" i="17"/>
  <c r="T9" i="17"/>
  <c r="Q9" i="17"/>
  <c r="N9" i="17"/>
  <c r="K9" i="17"/>
  <c r="C9" i="17" s="1"/>
  <c r="C8" i="1" s="1"/>
  <c r="H9" i="17"/>
  <c r="AC8" i="17"/>
  <c r="Z8" i="17"/>
  <c r="W8" i="17"/>
  <c r="T8" i="17"/>
  <c r="Q8" i="17"/>
  <c r="N8" i="17"/>
  <c r="K8" i="17"/>
  <c r="H8" i="17"/>
  <c r="AO7" i="17"/>
  <c r="AL7" i="17"/>
  <c r="AI7" i="17"/>
  <c r="AF7" i="17"/>
  <c r="AC7" i="17"/>
  <c r="Z7" i="17"/>
  <c r="W7" i="17"/>
  <c r="T7" i="17"/>
  <c r="Q7" i="17"/>
  <c r="N7" i="17"/>
  <c r="K7" i="17"/>
  <c r="H7" i="17"/>
  <c r="F4" i="17"/>
  <c r="I4" i="17" s="1"/>
  <c r="F123" i="14"/>
  <c r="F118" i="14"/>
  <c r="D41" i="6"/>
  <c r="F41" i="6"/>
  <c r="O30" i="14"/>
  <c r="P13" i="14"/>
  <c r="O13" i="14"/>
  <c r="G95" i="14"/>
  <c r="F95" i="14"/>
  <c r="G71" i="14"/>
  <c r="F30" i="14"/>
  <c r="F16" i="14"/>
  <c r="AA130" i="16"/>
  <c r="X130" i="16"/>
  <c r="U130" i="16"/>
  <c r="R130" i="16"/>
  <c r="O130" i="16"/>
  <c r="L130" i="16"/>
  <c r="I130" i="16"/>
  <c r="C129" i="16"/>
  <c r="F123" i="16"/>
  <c r="C123" i="16"/>
  <c r="C122" i="16"/>
  <c r="C121" i="16"/>
  <c r="C120" i="16"/>
  <c r="C119" i="16"/>
  <c r="F118" i="16"/>
  <c r="C118" i="16"/>
  <c r="C117" i="16"/>
  <c r="F116" i="16"/>
  <c r="C116" i="16" s="1"/>
  <c r="C115" i="16"/>
  <c r="C114" i="16"/>
  <c r="C113" i="16"/>
  <c r="F112" i="16"/>
  <c r="C112" i="16"/>
  <c r="F111" i="16"/>
  <c r="C111" i="16"/>
  <c r="C110" i="16"/>
  <c r="F109" i="16"/>
  <c r="F125" i="16" s="1"/>
  <c r="F130" i="16" s="1"/>
  <c r="V99" i="16"/>
  <c r="AN97" i="16"/>
  <c r="AM97" i="16"/>
  <c r="Y97" i="16"/>
  <c r="X97" i="16"/>
  <c r="V97" i="16"/>
  <c r="U97" i="16"/>
  <c r="F97" i="16"/>
  <c r="AN96" i="16"/>
  <c r="AM96" i="16"/>
  <c r="AL96" i="16"/>
  <c r="AK96" i="16"/>
  <c r="AJ96" i="16"/>
  <c r="AH96" i="16"/>
  <c r="AG96" i="16"/>
  <c r="AE96" i="16"/>
  <c r="AD96" i="16"/>
  <c r="AB96" i="16"/>
  <c r="AA96" i="16"/>
  <c r="Y96" i="16"/>
  <c r="X96" i="16"/>
  <c r="V96" i="16"/>
  <c r="U96" i="16"/>
  <c r="R96" i="16"/>
  <c r="Q96" i="16"/>
  <c r="P96" i="16"/>
  <c r="O96" i="16"/>
  <c r="M96" i="16"/>
  <c r="L96" i="16"/>
  <c r="J96" i="16"/>
  <c r="I96" i="16"/>
  <c r="G96" i="16"/>
  <c r="F96" i="16"/>
  <c r="AO95" i="16"/>
  <c r="AL95" i="16"/>
  <c r="AI95" i="16"/>
  <c r="AF95" i="16"/>
  <c r="AC95" i="16"/>
  <c r="Z95" i="16"/>
  <c r="W95" i="16"/>
  <c r="S95" i="16"/>
  <c r="S96" i="16" s="1"/>
  <c r="S97" i="16" s="1"/>
  <c r="Q95" i="16"/>
  <c r="N95" i="16"/>
  <c r="K95" i="16"/>
  <c r="G95" i="16"/>
  <c r="H95" i="16" s="1"/>
  <c r="F95" i="16"/>
  <c r="AO94" i="16"/>
  <c r="AL94" i="16"/>
  <c r="AI94" i="16"/>
  <c r="AF94" i="16"/>
  <c r="AC94" i="16"/>
  <c r="Z94" i="16"/>
  <c r="W94" i="16"/>
  <c r="T94" i="16"/>
  <c r="Q94" i="16"/>
  <c r="N94" i="16"/>
  <c r="K94" i="16"/>
  <c r="H94" i="16"/>
  <c r="C94" i="16"/>
  <c r="AO93" i="16"/>
  <c r="AL93" i="16"/>
  <c r="AI93" i="16"/>
  <c r="AF93" i="16"/>
  <c r="AC93" i="16"/>
  <c r="Z93" i="16"/>
  <c r="W93" i="16"/>
  <c r="T93" i="16"/>
  <c r="Q93" i="16"/>
  <c r="N93" i="16"/>
  <c r="K93" i="16"/>
  <c r="H93" i="16"/>
  <c r="C93" i="16"/>
  <c r="AO92" i="16"/>
  <c r="AO96" i="16" s="1"/>
  <c r="AO97" i="16" s="1"/>
  <c r="AL92" i="16"/>
  <c r="AI92" i="16"/>
  <c r="AI96" i="16" s="1"/>
  <c r="AF92" i="16"/>
  <c r="AF96" i="16" s="1"/>
  <c r="AC92" i="16"/>
  <c r="AC96" i="16" s="1"/>
  <c r="Z92" i="16"/>
  <c r="Z96" i="16" s="1"/>
  <c r="W92" i="16"/>
  <c r="W96" i="16" s="1"/>
  <c r="T92" i="16"/>
  <c r="Q92" i="16"/>
  <c r="N92" i="16"/>
  <c r="N96" i="16" s="1"/>
  <c r="K92" i="16"/>
  <c r="K96" i="16" s="1"/>
  <c r="H92" i="16"/>
  <c r="C92" i="16" s="1"/>
  <c r="AO89" i="16"/>
  <c r="AN89" i="16"/>
  <c r="AM89" i="16"/>
  <c r="AL89" i="16"/>
  <c r="AL97" i="16" s="1"/>
  <c r="AK89" i="16"/>
  <c r="AK97" i="16" s="1"/>
  <c r="AJ89" i="16"/>
  <c r="AJ97" i="16" s="1"/>
  <c r="AI89" i="16"/>
  <c r="AI97" i="16" s="1"/>
  <c r="AH89" i="16"/>
  <c r="AH97" i="16" s="1"/>
  <c r="AG89" i="16"/>
  <c r="AG97" i="16" s="1"/>
  <c r="AF89" i="16"/>
  <c r="AE89" i="16"/>
  <c r="AE97" i="16" s="1"/>
  <c r="AD89" i="16"/>
  <c r="AD97" i="16" s="1"/>
  <c r="AC89" i="16"/>
  <c r="AC97" i="16" s="1"/>
  <c r="AB89" i="16"/>
  <c r="AB97" i="16" s="1"/>
  <c r="AA89" i="16"/>
  <c r="AA97" i="16" s="1"/>
  <c r="Y89" i="16"/>
  <c r="X89" i="16"/>
  <c r="V89" i="16"/>
  <c r="U89" i="16"/>
  <c r="S89" i="16"/>
  <c r="R89" i="16"/>
  <c r="R97" i="16" s="1"/>
  <c r="P89" i="16"/>
  <c r="P97" i="16" s="1"/>
  <c r="O89" i="16"/>
  <c r="O97" i="16" s="1"/>
  <c r="N89" i="16"/>
  <c r="N97" i="16" s="1"/>
  <c r="M89" i="16"/>
  <c r="M97" i="16" s="1"/>
  <c r="L89" i="16"/>
  <c r="L97" i="16" s="1"/>
  <c r="K89" i="16"/>
  <c r="K97" i="16" s="1"/>
  <c r="J89" i="16"/>
  <c r="J97" i="16" s="1"/>
  <c r="I89" i="16"/>
  <c r="I97" i="16" s="1"/>
  <c r="H89" i="16"/>
  <c r="G89" i="16"/>
  <c r="G97" i="16" s="1"/>
  <c r="F89" i="16"/>
  <c r="AO88" i="16"/>
  <c r="AL88" i="16"/>
  <c r="AI88" i="16"/>
  <c r="AF88" i="16"/>
  <c r="AC88" i="16"/>
  <c r="Z88" i="16"/>
  <c r="Z89" i="16" s="1"/>
  <c r="Z97" i="16" s="1"/>
  <c r="W88" i="16"/>
  <c r="W89" i="16" s="1"/>
  <c r="W97" i="16" s="1"/>
  <c r="T88" i="16"/>
  <c r="T89" i="16" s="1"/>
  <c r="Q88" i="16"/>
  <c r="Q89" i="16" s="1"/>
  <c r="Q97" i="16" s="1"/>
  <c r="N88" i="16"/>
  <c r="K88" i="16"/>
  <c r="C88" i="16" s="1"/>
  <c r="C89" i="16" s="1"/>
  <c r="H88" i="16"/>
  <c r="AO87" i="16"/>
  <c r="AL87" i="16"/>
  <c r="AI87" i="16"/>
  <c r="AF87" i="16"/>
  <c r="AC87" i="16"/>
  <c r="Z87" i="16"/>
  <c r="W87" i="16"/>
  <c r="T87" i="16"/>
  <c r="Q87" i="16"/>
  <c r="N87" i="16"/>
  <c r="K87" i="16"/>
  <c r="H87" i="16"/>
  <c r="AO86" i="16"/>
  <c r="AL86" i="16"/>
  <c r="AI86" i="16"/>
  <c r="AF86" i="16"/>
  <c r="AC86" i="16"/>
  <c r="Z86" i="16"/>
  <c r="W86" i="16"/>
  <c r="T86" i="16"/>
  <c r="Q86" i="16"/>
  <c r="N86" i="16"/>
  <c r="K86" i="16"/>
  <c r="H86" i="16"/>
  <c r="AN84" i="16"/>
  <c r="AN99" i="16" s="1"/>
  <c r="AM84" i="16"/>
  <c r="AM99" i="16" s="1"/>
  <c r="AK84" i="16"/>
  <c r="AJ84" i="16"/>
  <c r="AH84" i="16"/>
  <c r="AG84" i="16"/>
  <c r="AF84" i="16"/>
  <c r="AE84" i="16"/>
  <c r="AE99" i="16" s="1"/>
  <c r="AD84" i="16"/>
  <c r="AD99" i="16" s="1"/>
  <c r="AC84" i="16"/>
  <c r="AC99" i="16" s="1"/>
  <c r="AB84" i="16"/>
  <c r="AB99" i="16" s="1"/>
  <c r="AA84" i="16"/>
  <c r="AA99" i="16" s="1"/>
  <c r="Z84" i="16"/>
  <c r="Z99" i="16" s="1"/>
  <c r="Y84" i="16"/>
  <c r="Y99" i="16" s="1"/>
  <c r="X84" i="16"/>
  <c r="X99" i="16" s="1"/>
  <c r="W84" i="16"/>
  <c r="W99" i="16" s="1"/>
  <c r="V84" i="16"/>
  <c r="U84" i="16"/>
  <c r="U99" i="16" s="1"/>
  <c r="S84" i="16"/>
  <c r="S99" i="16" s="1"/>
  <c r="R84" i="16"/>
  <c r="R99" i="16" s="1"/>
  <c r="P84" i="16"/>
  <c r="P99" i="16" s="1"/>
  <c r="O84" i="16"/>
  <c r="M84" i="16"/>
  <c r="L84" i="16"/>
  <c r="K84" i="16"/>
  <c r="J84" i="16"/>
  <c r="I84" i="16"/>
  <c r="H84" i="16"/>
  <c r="G84" i="16"/>
  <c r="G99" i="16" s="1"/>
  <c r="F84" i="16"/>
  <c r="F99" i="16" s="1"/>
  <c r="AO83" i="16"/>
  <c r="AO84" i="16" s="1"/>
  <c r="AL83" i="16"/>
  <c r="AL84" i="16" s="1"/>
  <c r="AL99" i="16" s="1"/>
  <c r="AI83" i="16"/>
  <c r="AI84" i="16" s="1"/>
  <c r="AF83" i="16"/>
  <c r="AC83" i="16"/>
  <c r="Z83" i="16"/>
  <c r="W83" i="16"/>
  <c r="T83" i="16"/>
  <c r="T84" i="16" s="1"/>
  <c r="Q83" i="16"/>
  <c r="Q84" i="16" s="1"/>
  <c r="Q99" i="16" s="1"/>
  <c r="N83" i="16"/>
  <c r="N84" i="16" s="1"/>
  <c r="N99" i="16" s="1"/>
  <c r="K83" i="16"/>
  <c r="H83" i="16"/>
  <c r="C81" i="16"/>
  <c r="AN73" i="16"/>
  <c r="AM73" i="16"/>
  <c r="AK73" i="16"/>
  <c r="AJ73" i="16"/>
  <c r="AH73" i="16"/>
  <c r="AG73" i="16"/>
  <c r="AF73" i="16"/>
  <c r="AE73" i="16"/>
  <c r="AD73" i="16"/>
  <c r="AA73" i="16"/>
  <c r="Y73" i="16"/>
  <c r="X73" i="16"/>
  <c r="V73" i="16"/>
  <c r="U73" i="16"/>
  <c r="S73" i="16"/>
  <c r="P73" i="16"/>
  <c r="O73" i="16"/>
  <c r="M73" i="16"/>
  <c r="L73" i="16"/>
  <c r="J73" i="16"/>
  <c r="I73" i="16"/>
  <c r="F73" i="16"/>
  <c r="AO72" i="16"/>
  <c r="AL72" i="16"/>
  <c r="AI72" i="16"/>
  <c r="AF72" i="16"/>
  <c r="AC72" i="16"/>
  <c r="Z72" i="16"/>
  <c r="W72" i="16"/>
  <c r="R72" i="16"/>
  <c r="R73" i="16" s="1"/>
  <c r="Q72" i="16"/>
  <c r="N72" i="16"/>
  <c r="K72" i="16"/>
  <c r="H72" i="16"/>
  <c r="AO71" i="16"/>
  <c r="AL71" i="16"/>
  <c r="AI71" i="16"/>
  <c r="AF71" i="16"/>
  <c r="AB71" i="16"/>
  <c r="AB73" i="16" s="1"/>
  <c r="Z71" i="16"/>
  <c r="W71" i="16"/>
  <c r="T71" i="16"/>
  <c r="P71" i="16"/>
  <c r="Q71" i="16" s="1"/>
  <c r="N71" i="16"/>
  <c r="K71" i="16"/>
  <c r="G71" i="16"/>
  <c r="G73" i="16" s="1"/>
  <c r="AO70" i="16"/>
  <c r="AL70" i="16"/>
  <c r="AI70" i="16"/>
  <c r="AF70" i="16"/>
  <c r="AC70" i="16"/>
  <c r="Z70" i="16"/>
  <c r="W70" i="16"/>
  <c r="T70" i="16"/>
  <c r="Q70" i="16"/>
  <c r="N70" i="16"/>
  <c r="K70" i="16"/>
  <c r="H70" i="16"/>
  <c r="C70" i="16" s="1"/>
  <c r="AO69" i="16"/>
  <c r="AO73" i="16" s="1"/>
  <c r="AL69" i="16"/>
  <c r="AL73" i="16" s="1"/>
  <c r="AI69" i="16"/>
  <c r="AI73" i="16" s="1"/>
  <c r="AF69" i="16"/>
  <c r="AC69" i="16"/>
  <c r="Z69" i="16"/>
  <c r="Z73" i="16" s="1"/>
  <c r="W69" i="16"/>
  <c r="W73" i="16" s="1"/>
  <c r="T69" i="16"/>
  <c r="Q69" i="16"/>
  <c r="Q73" i="16" s="1"/>
  <c r="N69" i="16"/>
  <c r="N73" i="16" s="1"/>
  <c r="K69" i="16"/>
  <c r="K73" i="16" s="1"/>
  <c r="H69" i="16"/>
  <c r="C69" i="16" s="1"/>
  <c r="AA66" i="16"/>
  <c r="AA74" i="16" s="1"/>
  <c r="AA100" i="16" s="1"/>
  <c r="Y66" i="16"/>
  <c r="Y74" i="16" s="1"/>
  <c r="Y100" i="16" s="1"/>
  <c r="Y102" i="16" s="1"/>
  <c r="X66" i="16"/>
  <c r="X74" i="16" s="1"/>
  <c r="X100" i="16" s="1"/>
  <c r="I66" i="16"/>
  <c r="I74" i="16" s="1"/>
  <c r="G66" i="16"/>
  <c r="G74" i="16" s="1"/>
  <c r="G100" i="16" s="1"/>
  <c r="G102" i="16" s="1"/>
  <c r="AO65" i="16"/>
  <c r="AN65" i="16"/>
  <c r="AM65" i="16"/>
  <c r="AL65" i="16"/>
  <c r="AK65" i="16"/>
  <c r="AJ65" i="16"/>
  <c r="AI65" i="16"/>
  <c r="AH65" i="16"/>
  <c r="AG65" i="16"/>
  <c r="AF65" i="16"/>
  <c r="AE65" i="16"/>
  <c r="AD65" i="16"/>
  <c r="AC65" i="16"/>
  <c r="AB65" i="16"/>
  <c r="AA65" i="16"/>
  <c r="Z65" i="16"/>
  <c r="Y65" i="16"/>
  <c r="X65" i="16"/>
  <c r="W65" i="16"/>
  <c r="V65" i="16"/>
  <c r="U65" i="16"/>
  <c r="T65" i="16"/>
  <c r="S65" i="16"/>
  <c r="R65" i="16"/>
  <c r="Q65" i="16"/>
  <c r="P65" i="16"/>
  <c r="O65" i="16"/>
  <c r="N65" i="16"/>
  <c r="M65" i="16"/>
  <c r="L65" i="16"/>
  <c r="K65" i="16"/>
  <c r="J65" i="16"/>
  <c r="I65" i="16"/>
  <c r="G65" i="16"/>
  <c r="F65" i="16"/>
  <c r="F66" i="16" s="1"/>
  <c r="F74" i="16" s="1"/>
  <c r="F100" i="16" s="1"/>
  <c r="H64" i="16"/>
  <c r="H65" i="16" s="1"/>
  <c r="C64" i="16"/>
  <c r="C65" i="16" s="1"/>
  <c r="AO61" i="16"/>
  <c r="AO66" i="16" s="1"/>
  <c r="AO74" i="16" s="1"/>
  <c r="AN61" i="16"/>
  <c r="AN66" i="16" s="1"/>
  <c r="AN74" i="16" s="1"/>
  <c r="AM61" i="16"/>
  <c r="AM66" i="16" s="1"/>
  <c r="AM74" i="16" s="1"/>
  <c r="AM100" i="16" s="1"/>
  <c r="AK61" i="16"/>
  <c r="AK66" i="16" s="1"/>
  <c r="AK74" i="16" s="1"/>
  <c r="AJ61" i="16"/>
  <c r="AJ66" i="16" s="1"/>
  <c r="AJ74" i="16" s="1"/>
  <c r="AH61" i="16"/>
  <c r="AH66" i="16" s="1"/>
  <c r="AH74" i="16" s="1"/>
  <c r="AG61" i="16"/>
  <c r="AG66" i="16" s="1"/>
  <c r="AG74" i="16" s="1"/>
  <c r="AE61" i="16"/>
  <c r="AE66" i="16" s="1"/>
  <c r="AE74" i="16" s="1"/>
  <c r="AD61" i="16"/>
  <c r="AD66" i="16" s="1"/>
  <c r="AD74" i="16" s="1"/>
  <c r="AB61" i="16"/>
  <c r="AB66" i="16" s="1"/>
  <c r="AB74" i="16" s="1"/>
  <c r="AA61" i="16"/>
  <c r="Y61" i="16"/>
  <c r="X61" i="16"/>
  <c r="V61" i="16"/>
  <c r="V66" i="16" s="1"/>
  <c r="V74" i="16" s="1"/>
  <c r="V100" i="16" s="1"/>
  <c r="V102" i="16" s="1"/>
  <c r="U61" i="16"/>
  <c r="U66" i="16" s="1"/>
  <c r="U74" i="16" s="1"/>
  <c r="T61" i="16"/>
  <c r="T66" i="16" s="1"/>
  <c r="S61" i="16"/>
  <c r="S66" i="16" s="1"/>
  <c r="S74" i="16" s="1"/>
  <c r="R61" i="16"/>
  <c r="R66" i="16" s="1"/>
  <c r="R74" i="16" s="1"/>
  <c r="R100" i="16" s="1"/>
  <c r="P61" i="16"/>
  <c r="P66" i="16" s="1"/>
  <c r="P74" i="16" s="1"/>
  <c r="O61" i="16"/>
  <c r="O66" i="16" s="1"/>
  <c r="O74" i="16" s="1"/>
  <c r="M61" i="16"/>
  <c r="M66" i="16" s="1"/>
  <c r="M74" i="16" s="1"/>
  <c r="L61" i="16"/>
  <c r="L66" i="16" s="1"/>
  <c r="L74" i="16" s="1"/>
  <c r="J61" i="16"/>
  <c r="J66" i="16" s="1"/>
  <c r="J74" i="16" s="1"/>
  <c r="I61" i="16"/>
  <c r="G61" i="16"/>
  <c r="F61" i="16"/>
  <c r="AO60" i="16"/>
  <c r="AL60" i="16"/>
  <c r="AI60" i="16"/>
  <c r="AF60" i="16"/>
  <c r="AC60" i="16"/>
  <c r="AC61" i="16" s="1"/>
  <c r="AC66" i="16" s="1"/>
  <c r="Z60" i="16"/>
  <c r="W60" i="16"/>
  <c r="C60" i="16" s="1"/>
  <c r="T60" i="16"/>
  <c r="Q60" i="16"/>
  <c r="N60" i="16"/>
  <c r="K60" i="16"/>
  <c r="H60" i="16"/>
  <c r="AO59" i="16"/>
  <c r="AL59" i="16"/>
  <c r="AL61" i="16" s="1"/>
  <c r="AL66" i="16" s="1"/>
  <c r="AL74" i="16" s="1"/>
  <c r="AL100" i="16" s="1"/>
  <c r="AI59" i="16"/>
  <c r="AI61" i="16" s="1"/>
  <c r="AI66" i="16" s="1"/>
  <c r="AI74" i="16" s="1"/>
  <c r="AF59" i="16"/>
  <c r="AF61" i="16" s="1"/>
  <c r="AF66" i="16" s="1"/>
  <c r="AF74" i="16" s="1"/>
  <c r="AC59" i="16"/>
  <c r="Z59" i="16"/>
  <c r="Z61" i="16" s="1"/>
  <c r="Z66" i="16" s="1"/>
  <c r="Z74" i="16" s="1"/>
  <c r="Z100" i="16" s="1"/>
  <c r="W59" i="16"/>
  <c r="W61" i="16" s="1"/>
  <c r="W66" i="16" s="1"/>
  <c r="W74" i="16" s="1"/>
  <c r="W100" i="16" s="1"/>
  <c r="T59" i="16"/>
  <c r="Q59" i="16"/>
  <c r="Q61" i="16" s="1"/>
  <c r="Q66" i="16" s="1"/>
  <c r="N59" i="16"/>
  <c r="N61" i="16" s="1"/>
  <c r="N66" i="16" s="1"/>
  <c r="K59" i="16"/>
  <c r="K61" i="16" s="1"/>
  <c r="K66" i="16" s="1"/>
  <c r="H59" i="16"/>
  <c r="H61" i="16" s="1"/>
  <c r="C59" i="16"/>
  <c r="C53" i="16"/>
  <c r="A50" i="16"/>
  <c r="AO41" i="16"/>
  <c r="AL41" i="16"/>
  <c r="AI41" i="16"/>
  <c r="AF41" i="16"/>
  <c r="AC41" i="16"/>
  <c r="Z41" i="16"/>
  <c r="W41" i="16"/>
  <c r="T41" i="16"/>
  <c r="Q41" i="16"/>
  <c r="N41" i="16"/>
  <c r="K41" i="16"/>
  <c r="H41" i="16"/>
  <c r="AN40" i="16"/>
  <c r="AM40" i="16"/>
  <c r="AK40" i="16"/>
  <c r="AJ40" i="16"/>
  <c r="AH40" i="16"/>
  <c r="AG40" i="16"/>
  <c r="AF40" i="16"/>
  <c r="AE40" i="16"/>
  <c r="AD40" i="16"/>
  <c r="AB40" i="16"/>
  <c r="AA40" i="16"/>
  <c r="Y40" i="16"/>
  <c r="X40" i="16"/>
  <c r="V40" i="16"/>
  <c r="U40" i="16"/>
  <c r="S40" i="16"/>
  <c r="R40" i="16"/>
  <c r="P40" i="16"/>
  <c r="O40" i="16"/>
  <c r="M40" i="16"/>
  <c r="L40" i="16"/>
  <c r="K40" i="16"/>
  <c r="J40" i="16"/>
  <c r="I40" i="16"/>
  <c r="G40" i="16"/>
  <c r="F40" i="16"/>
  <c r="D40" i="16"/>
  <c r="AO39" i="16"/>
  <c r="AL39" i="16"/>
  <c r="AI39" i="16"/>
  <c r="AF39" i="16"/>
  <c r="AC39" i="16"/>
  <c r="Z39" i="16"/>
  <c r="W39" i="16"/>
  <c r="T39" i="16"/>
  <c r="Q39" i="16"/>
  <c r="N39" i="16"/>
  <c r="K39" i="16"/>
  <c r="H39" i="16"/>
  <c r="C39" i="16" s="1"/>
  <c r="AO38" i="16"/>
  <c r="AL38" i="16"/>
  <c r="AI38" i="16"/>
  <c r="AF38" i="16"/>
  <c r="AC38" i="16"/>
  <c r="Z38" i="16"/>
  <c r="W38" i="16"/>
  <c r="T38" i="16"/>
  <c r="Q38" i="16"/>
  <c r="N38" i="16"/>
  <c r="K38" i="16"/>
  <c r="H38" i="16"/>
  <c r="C38" i="16" s="1"/>
  <c r="AO37" i="16"/>
  <c r="AO40" i="16" s="1"/>
  <c r="AL37" i="16"/>
  <c r="AL40" i="16" s="1"/>
  <c r="AI37" i="16"/>
  <c r="AI40" i="16" s="1"/>
  <c r="AF37" i="16"/>
  <c r="AC37" i="16"/>
  <c r="AC40" i="16" s="1"/>
  <c r="Z37" i="16"/>
  <c r="Z40" i="16" s="1"/>
  <c r="W37" i="16"/>
  <c r="W40" i="16" s="1"/>
  <c r="T37" i="16"/>
  <c r="T40" i="16" s="1"/>
  <c r="Q37" i="16"/>
  <c r="Q40" i="16" s="1"/>
  <c r="N37" i="16"/>
  <c r="N40" i="16" s="1"/>
  <c r="K37" i="16"/>
  <c r="H37" i="16"/>
  <c r="H40" i="16" s="1"/>
  <c r="I33" i="16"/>
  <c r="I42" i="16" s="1"/>
  <c r="I46" i="16" s="1"/>
  <c r="I47" i="16" s="1"/>
  <c r="AO32" i="16"/>
  <c r="AL32" i="16"/>
  <c r="AI32" i="16"/>
  <c r="AF32" i="16"/>
  <c r="AC32" i="16"/>
  <c r="Z32" i="16"/>
  <c r="W32" i="16"/>
  <c r="T32" i="16"/>
  <c r="Q32" i="16"/>
  <c r="N32" i="16"/>
  <c r="K32" i="16"/>
  <c r="H32" i="16"/>
  <c r="AN31" i="16"/>
  <c r="AM31" i="16"/>
  <c r="AL31" i="16"/>
  <c r="AK31" i="16"/>
  <c r="AJ31" i="16"/>
  <c r="AH31" i="16"/>
  <c r="AG31" i="16"/>
  <c r="AE31" i="16"/>
  <c r="AD31" i="16"/>
  <c r="AB31" i="16"/>
  <c r="AA31" i="16"/>
  <c r="Y31" i="16"/>
  <c r="X31" i="16"/>
  <c r="V31" i="16"/>
  <c r="U31" i="16"/>
  <c r="S31" i="16"/>
  <c r="R31" i="16"/>
  <c r="Q31" i="16"/>
  <c r="P31" i="16"/>
  <c r="O31" i="16"/>
  <c r="M31" i="16"/>
  <c r="L31" i="16"/>
  <c r="J31" i="16"/>
  <c r="I31" i="16"/>
  <c r="G31" i="16"/>
  <c r="D31" i="16"/>
  <c r="AO30" i="16"/>
  <c r="AL30" i="16"/>
  <c r="AI30" i="16"/>
  <c r="AF30" i="16"/>
  <c r="AC30" i="16"/>
  <c r="Z30" i="16"/>
  <c r="W30" i="16"/>
  <c r="T30" i="16"/>
  <c r="Q30" i="16"/>
  <c r="O30" i="16"/>
  <c r="N30" i="16"/>
  <c r="K30" i="16"/>
  <c r="F30" i="16"/>
  <c r="H30" i="16" s="1"/>
  <c r="C30" i="16" s="1"/>
  <c r="AO29" i="16"/>
  <c r="AL29" i="16"/>
  <c r="AI29" i="16"/>
  <c r="AF29" i="16"/>
  <c r="AC29" i="16"/>
  <c r="Z29" i="16"/>
  <c r="W29" i="16"/>
  <c r="T29" i="16"/>
  <c r="Q29" i="16"/>
  <c r="N29" i="16"/>
  <c r="K29" i="16"/>
  <c r="H29" i="16"/>
  <c r="C29" i="16" s="1"/>
  <c r="AO28" i="16"/>
  <c r="AL28" i="16"/>
  <c r="AI28" i="16"/>
  <c r="AF28" i="16"/>
  <c r="AC28" i="16"/>
  <c r="Z28" i="16"/>
  <c r="W28" i="16"/>
  <c r="T28" i="16"/>
  <c r="Q28" i="16"/>
  <c r="N28" i="16"/>
  <c r="K28" i="16"/>
  <c r="H28" i="16"/>
  <c r="C28" i="16"/>
  <c r="AO27" i="16"/>
  <c r="AL27" i="16"/>
  <c r="AI27" i="16"/>
  <c r="AF27" i="16"/>
  <c r="AC27" i="16"/>
  <c r="Z27" i="16"/>
  <c r="W27" i="16"/>
  <c r="T27" i="16"/>
  <c r="Q27" i="16"/>
  <c r="N27" i="16"/>
  <c r="K27" i="16"/>
  <c r="H27" i="16"/>
  <c r="C27" i="16" s="1"/>
  <c r="AO26" i="16"/>
  <c r="AO31" i="16" s="1"/>
  <c r="AL26" i="16"/>
  <c r="AI26" i="16"/>
  <c r="AI31" i="16" s="1"/>
  <c r="AF26" i="16"/>
  <c r="AF31" i="16" s="1"/>
  <c r="AC26" i="16"/>
  <c r="AC31" i="16" s="1"/>
  <c r="Z26" i="16"/>
  <c r="Z31" i="16" s="1"/>
  <c r="W26" i="16"/>
  <c r="W31" i="16" s="1"/>
  <c r="T26" i="16"/>
  <c r="T31" i="16" s="1"/>
  <c r="Q26" i="16"/>
  <c r="N26" i="16"/>
  <c r="N31" i="16" s="1"/>
  <c r="K26" i="16"/>
  <c r="K31" i="16" s="1"/>
  <c r="H26" i="16"/>
  <c r="C26" i="16"/>
  <c r="AN22" i="16"/>
  <c r="AN33" i="16" s="1"/>
  <c r="AN42" i="16" s="1"/>
  <c r="AN46" i="16" s="1"/>
  <c r="AN47" i="16" s="1"/>
  <c r="AM22" i="16"/>
  <c r="AM33" i="16" s="1"/>
  <c r="AM42" i="16" s="1"/>
  <c r="AM46" i="16" s="1"/>
  <c r="AM47" i="16" s="1"/>
  <c r="AK22" i="16"/>
  <c r="AK33" i="16" s="1"/>
  <c r="AK42" i="16" s="1"/>
  <c r="AK46" i="16" s="1"/>
  <c r="AK47" i="16" s="1"/>
  <c r="AJ22" i="16"/>
  <c r="AJ33" i="16" s="1"/>
  <c r="AJ42" i="16" s="1"/>
  <c r="AJ46" i="16" s="1"/>
  <c r="AJ47" i="16" s="1"/>
  <c r="AH22" i="16"/>
  <c r="AH33" i="16" s="1"/>
  <c r="AH42" i="16" s="1"/>
  <c r="AH46" i="16" s="1"/>
  <c r="AH47" i="16" s="1"/>
  <c r="AG22" i="16"/>
  <c r="AG33" i="16" s="1"/>
  <c r="AG42" i="16" s="1"/>
  <c r="AG46" i="16" s="1"/>
  <c r="AG47" i="16" s="1"/>
  <c r="AE22" i="16"/>
  <c r="AE33" i="16" s="1"/>
  <c r="AE42" i="16" s="1"/>
  <c r="AE46" i="16" s="1"/>
  <c r="AE47" i="16" s="1"/>
  <c r="AD22" i="16"/>
  <c r="AD33" i="16" s="1"/>
  <c r="AD42" i="16" s="1"/>
  <c r="AD46" i="16" s="1"/>
  <c r="AD47" i="16" s="1"/>
  <c r="AB22" i="16"/>
  <c r="AB33" i="16" s="1"/>
  <c r="AB42" i="16" s="1"/>
  <c r="AB46" i="16" s="1"/>
  <c r="AB47" i="16" s="1"/>
  <c r="Y22" i="16"/>
  <c r="Y33" i="16" s="1"/>
  <c r="Y42" i="16" s="1"/>
  <c r="Y46" i="16" s="1"/>
  <c r="Y47" i="16" s="1"/>
  <c r="X22" i="16"/>
  <c r="X33" i="16" s="1"/>
  <c r="X42" i="16" s="1"/>
  <c r="X46" i="16" s="1"/>
  <c r="X47" i="16" s="1"/>
  <c r="V22" i="16"/>
  <c r="V33" i="16" s="1"/>
  <c r="V42" i="16" s="1"/>
  <c r="V46" i="16" s="1"/>
  <c r="V47" i="16" s="1"/>
  <c r="U22" i="16"/>
  <c r="U33" i="16" s="1"/>
  <c r="U42" i="16" s="1"/>
  <c r="U46" i="16" s="1"/>
  <c r="U47" i="16" s="1"/>
  <c r="S22" i="16"/>
  <c r="S33" i="16" s="1"/>
  <c r="S42" i="16" s="1"/>
  <c r="S46" i="16" s="1"/>
  <c r="S47" i="16" s="1"/>
  <c r="R22" i="16"/>
  <c r="R33" i="16" s="1"/>
  <c r="R42" i="16" s="1"/>
  <c r="R46" i="16" s="1"/>
  <c r="M22" i="16"/>
  <c r="M33" i="16" s="1"/>
  <c r="M42" i="16" s="1"/>
  <c r="M46" i="16" s="1"/>
  <c r="M47" i="16" s="1"/>
  <c r="L22" i="16"/>
  <c r="L33" i="16" s="1"/>
  <c r="L42" i="16" s="1"/>
  <c r="L46" i="16" s="1"/>
  <c r="J22" i="16"/>
  <c r="J33" i="16" s="1"/>
  <c r="J42" i="16" s="1"/>
  <c r="J46" i="16" s="1"/>
  <c r="J47" i="16" s="1"/>
  <c r="I22" i="16"/>
  <c r="D22" i="16"/>
  <c r="D33" i="16" s="1"/>
  <c r="D42" i="16" s="1"/>
  <c r="AO21" i="16"/>
  <c r="AL21" i="16"/>
  <c r="AI21" i="16"/>
  <c r="AF21" i="16"/>
  <c r="AC21" i="16"/>
  <c r="Z21" i="16"/>
  <c r="W21" i="16"/>
  <c r="T21" i="16"/>
  <c r="Q21" i="16"/>
  <c r="N21" i="16"/>
  <c r="K21" i="16"/>
  <c r="H21" i="16"/>
  <c r="C21" i="16" s="1"/>
  <c r="AO20" i="16"/>
  <c r="AL20" i="16"/>
  <c r="AI20" i="16"/>
  <c r="AF20" i="16"/>
  <c r="AC20" i="16"/>
  <c r="Z20" i="16"/>
  <c r="W20" i="16"/>
  <c r="T20" i="16"/>
  <c r="Q20" i="16"/>
  <c r="C20" i="16" s="1"/>
  <c r="N20" i="16"/>
  <c r="K20" i="16"/>
  <c r="H20" i="16"/>
  <c r="AO19" i="16"/>
  <c r="AL19" i="16"/>
  <c r="AI19" i="16"/>
  <c r="AF19" i="16"/>
  <c r="AC19" i="16"/>
  <c r="Z19" i="16"/>
  <c r="W19" i="16"/>
  <c r="T19" i="16"/>
  <c r="Q19" i="16"/>
  <c r="N19" i="16"/>
  <c r="C19" i="16" s="1"/>
  <c r="K19" i="16"/>
  <c r="H19" i="16"/>
  <c r="AO18" i="16"/>
  <c r="AL18" i="16"/>
  <c r="AI18" i="16"/>
  <c r="C18" i="16" s="1"/>
  <c r="AF18" i="16"/>
  <c r="AC18" i="16"/>
  <c r="Z18" i="16"/>
  <c r="W18" i="16"/>
  <c r="T18" i="16"/>
  <c r="Q18" i="16"/>
  <c r="N18" i="16"/>
  <c r="K18" i="16"/>
  <c r="H18" i="16"/>
  <c r="AO17" i="16"/>
  <c r="AL17" i="16"/>
  <c r="AI17" i="16"/>
  <c r="AF17" i="16"/>
  <c r="AC17" i="16"/>
  <c r="Z17" i="16"/>
  <c r="W17" i="16"/>
  <c r="T17" i="16"/>
  <c r="Q17" i="16"/>
  <c r="N17" i="16"/>
  <c r="K17" i="16"/>
  <c r="H17" i="16"/>
  <c r="C17" i="16" s="1"/>
  <c r="AO16" i="16"/>
  <c r="AL16" i="16"/>
  <c r="AI16" i="16"/>
  <c r="AF16" i="16"/>
  <c r="AC16" i="16"/>
  <c r="Z16" i="16"/>
  <c r="W16" i="16"/>
  <c r="T16" i="16"/>
  <c r="Q16" i="16"/>
  <c r="N16" i="16"/>
  <c r="K16" i="16"/>
  <c r="F16" i="16"/>
  <c r="H16" i="16" s="1"/>
  <c r="C16" i="16" s="1"/>
  <c r="AO15" i="16"/>
  <c r="AL15" i="16"/>
  <c r="AI15" i="16"/>
  <c r="C15" i="16" s="1"/>
  <c r="AF15" i="16"/>
  <c r="AC15" i="16"/>
  <c r="Z15" i="16"/>
  <c r="W15" i="16"/>
  <c r="T15" i="16"/>
  <c r="Q15" i="16"/>
  <c r="N15" i="16"/>
  <c r="K15" i="16"/>
  <c r="H15" i="16"/>
  <c r="AO14" i="16"/>
  <c r="AL14" i="16"/>
  <c r="AI14" i="16"/>
  <c r="AF14" i="16"/>
  <c r="AC14" i="16"/>
  <c r="Z14" i="16"/>
  <c r="W14" i="16"/>
  <c r="T14" i="16"/>
  <c r="Q14" i="16"/>
  <c r="N14" i="16"/>
  <c r="K14" i="16"/>
  <c r="H14" i="16"/>
  <c r="C14" i="16" s="1"/>
  <c r="AO13" i="16"/>
  <c r="AL13" i="16"/>
  <c r="AI13" i="16"/>
  <c r="AF13" i="16"/>
  <c r="AA13" i="16"/>
  <c r="AC13" i="16" s="1"/>
  <c r="Z13" i="16"/>
  <c r="W13" i="16"/>
  <c r="T13" i="16"/>
  <c r="P13" i="16"/>
  <c r="P22" i="16" s="1"/>
  <c r="P33" i="16" s="1"/>
  <c r="P42" i="16" s="1"/>
  <c r="P46" i="16" s="1"/>
  <c r="P47" i="16" s="1"/>
  <c r="O13" i="16"/>
  <c r="O22" i="16" s="1"/>
  <c r="O33" i="16" s="1"/>
  <c r="O42" i="16" s="1"/>
  <c r="O46" i="16" s="1"/>
  <c r="O47" i="16" s="1"/>
  <c r="N13" i="16"/>
  <c r="K13" i="16"/>
  <c r="H13" i="16"/>
  <c r="G13" i="16"/>
  <c r="G22" i="16" s="1"/>
  <c r="G33" i="16" s="1"/>
  <c r="G42" i="16" s="1"/>
  <c r="G46" i="16" s="1"/>
  <c r="G47" i="16" s="1"/>
  <c r="AC12" i="16"/>
  <c r="Z12" i="16"/>
  <c r="W12" i="16"/>
  <c r="T12" i="16"/>
  <c r="Q12" i="16"/>
  <c r="N12" i="16"/>
  <c r="K12" i="16"/>
  <c r="C12" i="16" s="1"/>
  <c r="H12" i="16"/>
  <c r="AO11" i="16"/>
  <c r="AL11" i="16"/>
  <c r="AI11" i="16"/>
  <c r="AF11" i="16"/>
  <c r="AC11" i="16"/>
  <c r="Z11" i="16"/>
  <c r="W11" i="16"/>
  <c r="T11" i="16"/>
  <c r="Q11" i="16"/>
  <c r="N11" i="16"/>
  <c r="K11" i="16"/>
  <c r="H11" i="16"/>
  <c r="C11" i="16" s="1"/>
  <c r="AC10" i="16"/>
  <c r="Z10" i="16"/>
  <c r="W10" i="16"/>
  <c r="T10" i="16"/>
  <c r="Q10" i="16"/>
  <c r="N10" i="16"/>
  <c r="K10" i="16"/>
  <c r="H10" i="16"/>
  <c r="C10" i="16" s="1"/>
  <c r="AC9" i="16"/>
  <c r="Z9" i="16"/>
  <c r="W9" i="16"/>
  <c r="T9" i="16"/>
  <c r="Q9" i="16"/>
  <c r="N9" i="16"/>
  <c r="K9" i="16"/>
  <c r="H9" i="16"/>
  <c r="C9" i="16"/>
  <c r="AC8" i="16"/>
  <c r="Z8" i="16"/>
  <c r="W8" i="16"/>
  <c r="T8" i="16"/>
  <c r="Q8" i="16"/>
  <c r="N8" i="16"/>
  <c r="K8" i="16"/>
  <c r="C8" i="16" s="1"/>
  <c r="H8" i="16"/>
  <c r="AO7" i="16"/>
  <c r="AO22" i="16" s="1"/>
  <c r="AO33" i="16" s="1"/>
  <c r="AO42" i="16" s="1"/>
  <c r="AO46" i="16" s="1"/>
  <c r="AO47" i="16" s="1"/>
  <c r="AL7" i="16"/>
  <c r="AL22" i="16" s="1"/>
  <c r="AL33" i="16" s="1"/>
  <c r="AI7" i="16"/>
  <c r="AI22" i="16" s="1"/>
  <c r="AF7" i="16"/>
  <c r="AF22" i="16" s="1"/>
  <c r="AC7" i="16"/>
  <c r="Z7" i="16"/>
  <c r="Z22" i="16" s="1"/>
  <c r="W7" i="16"/>
  <c r="W22" i="16" s="1"/>
  <c r="T7" i="16"/>
  <c r="T22" i="16" s="1"/>
  <c r="Q7" i="16"/>
  <c r="N7" i="16"/>
  <c r="N22" i="16" s="1"/>
  <c r="N33" i="16" s="1"/>
  <c r="K7" i="16"/>
  <c r="K22" i="16" s="1"/>
  <c r="K33" i="16" s="1"/>
  <c r="K42" i="16" s="1"/>
  <c r="K46" i="16" s="1"/>
  <c r="K47" i="16" s="1"/>
  <c r="H7" i="16"/>
  <c r="C7" i="16" s="1"/>
  <c r="AD4" i="16"/>
  <c r="AA4" i="16"/>
  <c r="X4" i="16"/>
  <c r="U4" i="16"/>
  <c r="R4" i="16"/>
  <c r="I4" i="16"/>
  <c r="F4" i="16"/>
  <c r="O4" i="16" s="1"/>
  <c r="F109" i="14"/>
  <c r="AA130" i="15"/>
  <c r="X130" i="15"/>
  <c r="U130" i="15"/>
  <c r="R130" i="15"/>
  <c r="L130" i="15"/>
  <c r="I130" i="15"/>
  <c r="C129" i="15"/>
  <c r="F123" i="15"/>
  <c r="C123" i="15"/>
  <c r="C122" i="15"/>
  <c r="C121" i="15"/>
  <c r="C120" i="15"/>
  <c r="O119" i="15"/>
  <c r="O130" i="15" s="1"/>
  <c r="F118" i="15"/>
  <c r="C118" i="15"/>
  <c r="C117" i="15"/>
  <c r="F116" i="15"/>
  <c r="C116" i="15"/>
  <c r="C115" i="15"/>
  <c r="C114" i="15"/>
  <c r="C113" i="15"/>
  <c r="F112" i="15"/>
  <c r="F125" i="15" s="1"/>
  <c r="F130" i="15" s="1"/>
  <c r="C112" i="15"/>
  <c r="C111" i="15"/>
  <c r="C110" i="15"/>
  <c r="C109" i="15"/>
  <c r="AD97" i="15"/>
  <c r="AN96" i="15"/>
  <c r="AM96" i="15"/>
  <c r="AK96" i="15"/>
  <c r="AJ96" i="15"/>
  <c r="AH96" i="15"/>
  <c r="AG96" i="15"/>
  <c r="AE96" i="15"/>
  <c r="AE97" i="15" s="1"/>
  <c r="AD96" i="15"/>
  <c r="AB96" i="15"/>
  <c r="AA96" i="15"/>
  <c r="Y96" i="15"/>
  <c r="X96" i="15"/>
  <c r="V96" i="15"/>
  <c r="V97" i="15" s="1"/>
  <c r="U96" i="15"/>
  <c r="R96" i="15"/>
  <c r="P96" i="15"/>
  <c r="O96" i="15"/>
  <c r="O97" i="15" s="1"/>
  <c r="M96" i="15"/>
  <c r="L96" i="15"/>
  <c r="J96" i="15"/>
  <c r="AO95" i="15"/>
  <c r="AL95" i="15"/>
  <c r="AI95" i="15"/>
  <c r="AF95" i="15"/>
  <c r="AC95" i="15"/>
  <c r="Z95" i="15"/>
  <c r="W95" i="15"/>
  <c r="S95" i="15"/>
  <c r="T95" i="15" s="1"/>
  <c r="Q95" i="15"/>
  <c r="N95" i="15"/>
  <c r="I95" i="15"/>
  <c r="I96" i="15" s="1"/>
  <c r="G95" i="15"/>
  <c r="G96" i="15" s="1"/>
  <c r="F95" i="15"/>
  <c r="F96" i="15" s="1"/>
  <c r="F97" i="15" s="1"/>
  <c r="AO94" i="15"/>
  <c r="AL94" i="15"/>
  <c r="AI94" i="15"/>
  <c r="AF94" i="15"/>
  <c r="AC94" i="15"/>
  <c r="Z94" i="15"/>
  <c r="W94" i="15"/>
  <c r="T94" i="15"/>
  <c r="Q94" i="15"/>
  <c r="N94" i="15"/>
  <c r="K94" i="15"/>
  <c r="H94" i="15"/>
  <c r="AO93" i="15"/>
  <c r="AL93" i="15"/>
  <c r="AI93" i="15"/>
  <c r="AF93" i="15"/>
  <c r="AC93" i="15"/>
  <c r="Z93" i="15"/>
  <c r="W93" i="15"/>
  <c r="T93" i="15"/>
  <c r="Q93" i="15"/>
  <c r="N93" i="15"/>
  <c r="K93" i="15"/>
  <c r="H93" i="15"/>
  <c r="AO92" i="15"/>
  <c r="AL92" i="15"/>
  <c r="AL96" i="15" s="1"/>
  <c r="AI92" i="15"/>
  <c r="AI96" i="15" s="1"/>
  <c r="AF92" i="15"/>
  <c r="AC92" i="15"/>
  <c r="Z92" i="15"/>
  <c r="W92" i="15"/>
  <c r="T92" i="15"/>
  <c r="Q92" i="15"/>
  <c r="N92" i="15"/>
  <c r="K92" i="15"/>
  <c r="H92" i="15"/>
  <c r="C92" i="15" s="1"/>
  <c r="AN89" i="15"/>
  <c r="AM89" i="15"/>
  <c r="AM97" i="15" s="1"/>
  <c r="AK89" i="15"/>
  <c r="AK97" i="15" s="1"/>
  <c r="AK99" i="15" s="1"/>
  <c r="AJ89" i="15"/>
  <c r="AJ97" i="15" s="1"/>
  <c r="AI89" i="15"/>
  <c r="AH89" i="15"/>
  <c r="AH97" i="15" s="1"/>
  <c r="AG89" i="15"/>
  <c r="AG97" i="15" s="1"/>
  <c r="AG99" i="15" s="1"/>
  <c r="AE89" i="15"/>
  <c r="AD89" i="15"/>
  <c r="AB89" i="15"/>
  <c r="AA89" i="15"/>
  <c r="Y89" i="15"/>
  <c r="X89" i="15"/>
  <c r="V89" i="15"/>
  <c r="U89" i="15"/>
  <c r="U97" i="15" s="1"/>
  <c r="U99" i="15" s="1"/>
  <c r="S89" i="15"/>
  <c r="R89" i="15"/>
  <c r="R97" i="15" s="1"/>
  <c r="Q89" i="15"/>
  <c r="P89" i="15"/>
  <c r="O89" i="15"/>
  <c r="M89" i="15"/>
  <c r="L89" i="15"/>
  <c r="L97" i="15" s="1"/>
  <c r="L99" i="15" s="1"/>
  <c r="J89" i="15"/>
  <c r="J97" i="15" s="1"/>
  <c r="I89" i="15"/>
  <c r="I97" i="15" s="1"/>
  <c r="I99" i="15" s="1"/>
  <c r="H89" i="15"/>
  <c r="G89" i="15"/>
  <c r="F89" i="15"/>
  <c r="AO88" i="15"/>
  <c r="AO89" i="15" s="1"/>
  <c r="AL88" i="15"/>
  <c r="AL89" i="15" s="1"/>
  <c r="AI88" i="15"/>
  <c r="AF88" i="15"/>
  <c r="AF89" i="15" s="1"/>
  <c r="AC88" i="15"/>
  <c r="AC89" i="15" s="1"/>
  <c r="Z88" i="15"/>
  <c r="Z89" i="15" s="1"/>
  <c r="W88" i="15"/>
  <c r="W89" i="15" s="1"/>
  <c r="T88" i="15"/>
  <c r="T89" i="15" s="1"/>
  <c r="Q88" i="15"/>
  <c r="N88" i="15"/>
  <c r="N89" i="15" s="1"/>
  <c r="K88" i="15"/>
  <c r="K89" i="15" s="1"/>
  <c r="H88" i="15"/>
  <c r="AO87" i="15"/>
  <c r="AL87" i="15"/>
  <c r="AI87" i="15"/>
  <c r="AF87" i="15"/>
  <c r="AC87" i="15"/>
  <c r="Z87" i="15"/>
  <c r="W87" i="15"/>
  <c r="T87" i="15"/>
  <c r="Q87" i="15"/>
  <c r="N87" i="15"/>
  <c r="K87" i="15"/>
  <c r="H87" i="15"/>
  <c r="AO86" i="15"/>
  <c r="AL86" i="15"/>
  <c r="AI86" i="15"/>
  <c r="AF86" i="15"/>
  <c r="AC86" i="15"/>
  <c r="Z86" i="15"/>
  <c r="W86" i="15"/>
  <c r="T86" i="15"/>
  <c r="Q86" i="15"/>
  <c r="N86" i="15"/>
  <c r="K86" i="15"/>
  <c r="H86" i="15"/>
  <c r="AN84" i="15"/>
  <c r="AM84" i="15"/>
  <c r="AK84" i="15"/>
  <c r="AJ84" i="15"/>
  <c r="AH84" i="15"/>
  <c r="AG84" i="15"/>
  <c r="AE84" i="15"/>
  <c r="AD84" i="15"/>
  <c r="AB84" i="15"/>
  <c r="AA84" i="15"/>
  <c r="Z84" i="15"/>
  <c r="Y84" i="15"/>
  <c r="X84" i="15"/>
  <c r="V84" i="15"/>
  <c r="U84" i="15"/>
  <c r="S84" i="15"/>
  <c r="R84" i="15"/>
  <c r="R99" i="15" s="1"/>
  <c r="P84" i="15"/>
  <c r="O84" i="15"/>
  <c r="M84" i="15"/>
  <c r="L84" i="15"/>
  <c r="J84" i="15"/>
  <c r="I84" i="15"/>
  <c r="G84" i="15"/>
  <c r="F84" i="15"/>
  <c r="AO83" i="15"/>
  <c r="AO84" i="15" s="1"/>
  <c r="AL83" i="15"/>
  <c r="AL84" i="15" s="1"/>
  <c r="AI83" i="15"/>
  <c r="AI84" i="15" s="1"/>
  <c r="AF83" i="15"/>
  <c r="AF84" i="15" s="1"/>
  <c r="AC83" i="15"/>
  <c r="Z83" i="15"/>
  <c r="W83" i="15"/>
  <c r="W84" i="15" s="1"/>
  <c r="T83" i="15"/>
  <c r="T84" i="15" s="1"/>
  <c r="Q83" i="15"/>
  <c r="Q84" i="15" s="1"/>
  <c r="N83" i="15"/>
  <c r="N84" i="15" s="1"/>
  <c r="K83" i="15"/>
  <c r="K84" i="15" s="1"/>
  <c r="H83" i="15"/>
  <c r="H84" i="15" s="1"/>
  <c r="C81" i="15"/>
  <c r="AN73" i="15"/>
  <c r="AM73" i="15"/>
  <c r="AK73" i="15"/>
  <c r="AJ73" i="15"/>
  <c r="AH73" i="15"/>
  <c r="AG73" i="15"/>
  <c r="AE73" i="15"/>
  <c r="AD73" i="15"/>
  <c r="AA73" i="15"/>
  <c r="Y73" i="15"/>
  <c r="X73" i="15"/>
  <c r="V73" i="15"/>
  <c r="U73" i="15"/>
  <c r="S73" i="15"/>
  <c r="R73" i="15"/>
  <c r="O73" i="15"/>
  <c r="M73" i="15"/>
  <c r="L73" i="15"/>
  <c r="J73" i="15"/>
  <c r="I73" i="15"/>
  <c r="F73" i="15"/>
  <c r="AO72" i="15"/>
  <c r="AL72" i="15"/>
  <c r="AI72" i="15"/>
  <c r="AF72" i="15"/>
  <c r="AC72" i="15"/>
  <c r="Z72" i="15"/>
  <c r="W72" i="15"/>
  <c r="T72" i="15"/>
  <c r="Q72" i="15"/>
  <c r="N72" i="15"/>
  <c r="K72" i="15"/>
  <c r="H72" i="15"/>
  <c r="AO71" i="15"/>
  <c r="AL71" i="15"/>
  <c r="AI71" i="15"/>
  <c r="AF71" i="15"/>
  <c r="AB71" i="15"/>
  <c r="AB73" i="15" s="1"/>
  <c r="Z71" i="15"/>
  <c r="W71" i="15"/>
  <c r="T71" i="15"/>
  <c r="P71" i="15"/>
  <c r="P73" i="15" s="1"/>
  <c r="N71" i="15"/>
  <c r="K71" i="15"/>
  <c r="H71" i="15"/>
  <c r="G71" i="15"/>
  <c r="G73" i="15" s="1"/>
  <c r="AO70" i="15"/>
  <c r="AL70" i="15"/>
  <c r="AL73" i="15" s="1"/>
  <c r="AI70" i="15"/>
  <c r="AI73" i="15" s="1"/>
  <c r="AF70" i="15"/>
  <c r="AC70" i="15"/>
  <c r="Z70" i="15"/>
  <c r="W70" i="15"/>
  <c r="T70" i="15"/>
  <c r="Q70" i="15"/>
  <c r="N70" i="15"/>
  <c r="K70" i="15"/>
  <c r="H70" i="15"/>
  <c r="AO69" i="15"/>
  <c r="AO73" i="15" s="1"/>
  <c r="AL69" i="15"/>
  <c r="AI69" i="15"/>
  <c r="AF69" i="15"/>
  <c r="AC69" i="15"/>
  <c r="Z69" i="15"/>
  <c r="W69" i="15"/>
  <c r="T69" i="15"/>
  <c r="Q69" i="15"/>
  <c r="N69" i="15"/>
  <c r="K69" i="15"/>
  <c r="H69" i="15"/>
  <c r="AG66" i="15"/>
  <c r="AG74" i="15" s="1"/>
  <c r="AE66" i="15"/>
  <c r="AE74" i="15" s="1"/>
  <c r="O66" i="15"/>
  <c r="O74" i="15" s="1"/>
  <c r="AO65" i="15"/>
  <c r="AN65" i="15"/>
  <c r="AM65" i="15"/>
  <c r="AL65" i="15"/>
  <c r="AK65" i="15"/>
  <c r="AJ65" i="15"/>
  <c r="AI65" i="15"/>
  <c r="AH65" i="15"/>
  <c r="AG65" i="15"/>
  <c r="AF65" i="15"/>
  <c r="AE65" i="15"/>
  <c r="AD65" i="15"/>
  <c r="AC65" i="15"/>
  <c r="AB65" i="15"/>
  <c r="AA65" i="15"/>
  <c r="Z65" i="15"/>
  <c r="Y65" i="15"/>
  <c r="X65" i="15"/>
  <c r="W65" i="15"/>
  <c r="V65" i="15"/>
  <c r="V66" i="15" s="1"/>
  <c r="V74" i="15" s="1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G65" i="15"/>
  <c r="F65" i="15"/>
  <c r="F66" i="15" s="1"/>
  <c r="F74" i="15" s="1"/>
  <c r="H64" i="15"/>
  <c r="H65" i="15" s="1"/>
  <c r="AN61" i="15"/>
  <c r="AM61" i="15"/>
  <c r="AM66" i="15" s="1"/>
  <c r="AM74" i="15" s="1"/>
  <c r="AK61" i="15"/>
  <c r="AK66" i="15" s="1"/>
  <c r="AK74" i="15" s="1"/>
  <c r="AK100" i="15" s="1"/>
  <c r="AJ61" i="15"/>
  <c r="AJ66" i="15" s="1"/>
  <c r="AJ74" i="15" s="1"/>
  <c r="AH61" i="15"/>
  <c r="AH66" i="15" s="1"/>
  <c r="AH74" i="15" s="1"/>
  <c r="AG61" i="15"/>
  <c r="AE61" i="15"/>
  <c r="AD61" i="15"/>
  <c r="AD66" i="15" s="1"/>
  <c r="AD74" i="15" s="1"/>
  <c r="AB61" i="15"/>
  <c r="AA61" i="15"/>
  <c r="Y61" i="15"/>
  <c r="Y66" i="15" s="1"/>
  <c r="X61" i="15"/>
  <c r="X66" i="15" s="1"/>
  <c r="V61" i="15"/>
  <c r="U61" i="15"/>
  <c r="S61" i="15"/>
  <c r="S66" i="15" s="1"/>
  <c r="R61" i="15"/>
  <c r="R66" i="15" s="1"/>
  <c r="R74" i="15" s="1"/>
  <c r="P61" i="15"/>
  <c r="P66" i="15" s="1"/>
  <c r="O61" i="15"/>
  <c r="M61" i="15"/>
  <c r="L61" i="15"/>
  <c r="L66" i="15" s="1"/>
  <c r="J61" i="15"/>
  <c r="J66" i="15" s="1"/>
  <c r="I61" i="15"/>
  <c r="I66" i="15" s="1"/>
  <c r="G61" i="15"/>
  <c r="G66" i="15" s="1"/>
  <c r="G74" i="15" s="1"/>
  <c r="F61" i="15"/>
  <c r="AO60" i="15"/>
  <c r="AL60" i="15"/>
  <c r="AI60" i="15"/>
  <c r="AF60" i="15"/>
  <c r="AC60" i="15"/>
  <c r="Z60" i="15"/>
  <c r="W60" i="15"/>
  <c r="T60" i="15"/>
  <c r="Q60" i="15"/>
  <c r="N60" i="15"/>
  <c r="K60" i="15"/>
  <c r="H60" i="15"/>
  <c r="AO59" i="15"/>
  <c r="AO61" i="15" s="1"/>
  <c r="AL59" i="15"/>
  <c r="AI59" i="15"/>
  <c r="AI61" i="15" s="1"/>
  <c r="AI66" i="15" s="1"/>
  <c r="AF59" i="15"/>
  <c r="AF61" i="15" s="1"/>
  <c r="AF66" i="15" s="1"/>
  <c r="AC59" i="15"/>
  <c r="AC61" i="15" s="1"/>
  <c r="AC66" i="15" s="1"/>
  <c r="Z59" i="15"/>
  <c r="Z61" i="15" s="1"/>
  <c r="Z66" i="15" s="1"/>
  <c r="W59" i="15"/>
  <c r="W61" i="15" s="1"/>
  <c r="W66" i="15" s="1"/>
  <c r="T59" i="15"/>
  <c r="Q59" i="15"/>
  <c r="N59" i="15"/>
  <c r="K59" i="15"/>
  <c r="H59" i="15"/>
  <c r="C53" i="15"/>
  <c r="A50" i="15"/>
  <c r="AO41" i="15"/>
  <c r="AL41" i="15"/>
  <c r="AI41" i="15"/>
  <c r="AF41" i="15"/>
  <c r="AC41" i="15"/>
  <c r="Z41" i="15"/>
  <c r="W41" i="15"/>
  <c r="T41" i="15"/>
  <c r="Q41" i="15"/>
  <c r="N41" i="15"/>
  <c r="K41" i="15"/>
  <c r="H41" i="15"/>
  <c r="AN40" i="15"/>
  <c r="AM40" i="15"/>
  <c r="AK40" i="15"/>
  <c r="AJ40" i="15"/>
  <c r="AH40" i="15"/>
  <c r="AG40" i="15"/>
  <c r="AE40" i="15"/>
  <c r="AD40" i="15"/>
  <c r="AB40" i="15"/>
  <c r="AA40" i="15"/>
  <c r="Y40" i="15"/>
  <c r="X40" i="15"/>
  <c r="V40" i="15"/>
  <c r="U40" i="15"/>
  <c r="S40" i="15"/>
  <c r="R40" i="15"/>
  <c r="P40" i="15"/>
  <c r="O40" i="15"/>
  <c r="M40" i="15"/>
  <c r="L40" i="15"/>
  <c r="J40" i="15"/>
  <c r="I40" i="15"/>
  <c r="G40" i="15"/>
  <c r="F40" i="15"/>
  <c r="D40" i="15"/>
  <c r="AO39" i="15"/>
  <c r="AL39" i="15"/>
  <c r="AI39" i="15"/>
  <c r="AF39" i="15"/>
  <c r="AC39" i="15"/>
  <c r="AC40" i="15" s="1"/>
  <c r="Z39" i="15"/>
  <c r="Z40" i="15" s="1"/>
  <c r="W39" i="15"/>
  <c r="T39" i="15"/>
  <c r="Q39" i="15"/>
  <c r="N39" i="15"/>
  <c r="K39" i="15"/>
  <c r="H39" i="15"/>
  <c r="H40" i="15" s="1"/>
  <c r="AO38" i="15"/>
  <c r="AL38" i="15"/>
  <c r="AI38" i="15"/>
  <c r="AF38" i="15"/>
  <c r="AC38" i="15"/>
  <c r="Z38" i="15"/>
  <c r="W38" i="15"/>
  <c r="T38" i="15"/>
  <c r="Q38" i="15"/>
  <c r="N38" i="15"/>
  <c r="K38" i="15"/>
  <c r="H38" i="15"/>
  <c r="AO37" i="15"/>
  <c r="AL37" i="15"/>
  <c r="AL40" i="15" s="1"/>
  <c r="AI37" i="15"/>
  <c r="AI40" i="15" s="1"/>
  <c r="AF37" i="15"/>
  <c r="AC37" i="15"/>
  <c r="Z37" i="15"/>
  <c r="W37" i="15"/>
  <c r="T37" i="15"/>
  <c r="T40" i="15" s="1"/>
  <c r="Q37" i="15"/>
  <c r="Q40" i="15" s="1"/>
  <c r="N37" i="15"/>
  <c r="K37" i="15"/>
  <c r="H37" i="15"/>
  <c r="AO32" i="15"/>
  <c r="AL32" i="15"/>
  <c r="AI32" i="15"/>
  <c r="AF32" i="15"/>
  <c r="AC32" i="15"/>
  <c r="Z32" i="15"/>
  <c r="W32" i="15"/>
  <c r="T32" i="15"/>
  <c r="Q32" i="15"/>
  <c r="N32" i="15"/>
  <c r="K32" i="15"/>
  <c r="H32" i="15"/>
  <c r="AN31" i="15"/>
  <c r="AM31" i="15"/>
  <c r="AK31" i="15"/>
  <c r="AJ31" i="15"/>
  <c r="AH31" i="15"/>
  <c r="AG31" i="15"/>
  <c r="AE31" i="15"/>
  <c r="AD31" i="15"/>
  <c r="AB31" i="15"/>
  <c r="AA31" i="15"/>
  <c r="Y31" i="15"/>
  <c r="X31" i="15"/>
  <c r="V31" i="15"/>
  <c r="U31" i="15"/>
  <c r="S31" i="15"/>
  <c r="R31" i="15"/>
  <c r="P31" i="15"/>
  <c r="M31" i="15"/>
  <c r="L31" i="15"/>
  <c r="J31" i="15"/>
  <c r="J33" i="15" s="1"/>
  <c r="J42" i="15" s="1"/>
  <c r="J46" i="15" s="1"/>
  <c r="J47" i="15" s="1"/>
  <c r="I31" i="15"/>
  <c r="I33" i="15" s="1"/>
  <c r="I42" i="15" s="1"/>
  <c r="I46" i="15" s="1"/>
  <c r="I47" i="15" s="1"/>
  <c r="G31" i="15"/>
  <c r="D31" i="15"/>
  <c r="AO30" i="15"/>
  <c r="AL30" i="15"/>
  <c r="AI30" i="15"/>
  <c r="AF30" i="15"/>
  <c r="AC30" i="15"/>
  <c r="Z30" i="15"/>
  <c r="W30" i="15"/>
  <c r="T30" i="15"/>
  <c r="O30" i="15"/>
  <c r="O31" i="15" s="1"/>
  <c r="N30" i="15"/>
  <c r="K30" i="15"/>
  <c r="F30" i="15"/>
  <c r="F31" i="15" s="1"/>
  <c r="AO29" i="15"/>
  <c r="AL29" i="15"/>
  <c r="AI29" i="15"/>
  <c r="C29" i="15" s="1"/>
  <c r="AF29" i="15"/>
  <c r="AC29" i="15"/>
  <c r="Z29" i="15"/>
  <c r="W29" i="15"/>
  <c r="T29" i="15"/>
  <c r="Q29" i="15"/>
  <c r="N29" i="15"/>
  <c r="K29" i="15"/>
  <c r="H29" i="15"/>
  <c r="AO28" i="15"/>
  <c r="AL28" i="15"/>
  <c r="AI28" i="15"/>
  <c r="AF28" i="15"/>
  <c r="AC28" i="15"/>
  <c r="Z28" i="15"/>
  <c r="W28" i="15"/>
  <c r="T28" i="15"/>
  <c r="Q28" i="15"/>
  <c r="N28" i="15"/>
  <c r="C28" i="15" s="1"/>
  <c r="K28" i="15"/>
  <c r="H28" i="15"/>
  <c r="AO27" i="15"/>
  <c r="AL27" i="15"/>
  <c r="AI27" i="15"/>
  <c r="AF27" i="15"/>
  <c r="AC27" i="15"/>
  <c r="Z27" i="15"/>
  <c r="W27" i="15"/>
  <c r="T27" i="15"/>
  <c r="Q27" i="15"/>
  <c r="N27" i="15"/>
  <c r="K27" i="15"/>
  <c r="H27" i="15"/>
  <c r="AO26" i="15"/>
  <c r="AL26" i="15"/>
  <c r="AI26" i="15"/>
  <c r="AF26" i="15"/>
  <c r="AF31" i="15" s="1"/>
  <c r="AC26" i="15"/>
  <c r="AC31" i="15" s="1"/>
  <c r="Z26" i="15"/>
  <c r="W26" i="15"/>
  <c r="T26" i="15"/>
  <c r="Q26" i="15"/>
  <c r="N26" i="15"/>
  <c r="K26" i="15"/>
  <c r="H26" i="15"/>
  <c r="AN22" i="15"/>
  <c r="AM22" i="15"/>
  <c r="AM33" i="15" s="1"/>
  <c r="AM42" i="15" s="1"/>
  <c r="AM46" i="15" s="1"/>
  <c r="AM47" i="15" s="1"/>
  <c r="AK22" i="15"/>
  <c r="AK33" i="15" s="1"/>
  <c r="AK42" i="15" s="1"/>
  <c r="AK46" i="15" s="1"/>
  <c r="AK47" i="15" s="1"/>
  <c r="AJ22" i="15"/>
  <c r="AJ33" i="15" s="1"/>
  <c r="AJ42" i="15" s="1"/>
  <c r="AJ46" i="15" s="1"/>
  <c r="AJ47" i="15" s="1"/>
  <c r="AH22" i="15"/>
  <c r="AH33" i="15" s="1"/>
  <c r="AH42" i="15" s="1"/>
  <c r="AH46" i="15" s="1"/>
  <c r="AH47" i="15" s="1"/>
  <c r="AG22" i="15"/>
  <c r="AG33" i="15" s="1"/>
  <c r="AG42" i="15" s="1"/>
  <c r="AG46" i="15" s="1"/>
  <c r="AG47" i="15" s="1"/>
  <c r="AE22" i="15"/>
  <c r="AE33" i="15" s="1"/>
  <c r="AE42" i="15" s="1"/>
  <c r="AE46" i="15" s="1"/>
  <c r="AE47" i="15" s="1"/>
  <c r="AD22" i="15"/>
  <c r="AB22" i="15"/>
  <c r="Y22" i="15"/>
  <c r="Y33" i="15" s="1"/>
  <c r="Y42" i="15" s="1"/>
  <c r="Y46" i="15" s="1"/>
  <c r="Y47" i="15" s="1"/>
  <c r="X22" i="15"/>
  <c r="X33" i="15" s="1"/>
  <c r="V22" i="15"/>
  <c r="V33" i="15" s="1"/>
  <c r="V42" i="15" s="1"/>
  <c r="V46" i="15" s="1"/>
  <c r="V47" i="15" s="1"/>
  <c r="U22" i="15"/>
  <c r="U33" i="15" s="1"/>
  <c r="U42" i="15" s="1"/>
  <c r="U46" i="15" s="1"/>
  <c r="U47" i="15" s="1"/>
  <c r="S22" i="15"/>
  <c r="R22" i="15"/>
  <c r="R33" i="15" s="1"/>
  <c r="M22" i="15"/>
  <c r="L22" i="15"/>
  <c r="J22" i="15"/>
  <c r="I22" i="15"/>
  <c r="D22" i="15"/>
  <c r="D33" i="15" s="1"/>
  <c r="D42" i="15" s="1"/>
  <c r="AO21" i="15"/>
  <c r="AL21" i="15"/>
  <c r="AI21" i="15"/>
  <c r="AF21" i="15"/>
  <c r="AC21" i="15"/>
  <c r="Z21" i="15"/>
  <c r="W21" i="15"/>
  <c r="T21" i="15"/>
  <c r="Q21" i="15"/>
  <c r="N21" i="15"/>
  <c r="K21" i="15"/>
  <c r="H21" i="15"/>
  <c r="C21" i="15" s="1"/>
  <c r="AO20" i="15"/>
  <c r="AL20" i="15"/>
  <c r="AI20" i="15"/>
  <c r="AF20" i="15"/>
  <c r="AC20" i="15"/>
  <c r="Z20" i="15"/>
  <c r="W20" i="15"/>
  <c r="T20" i="15"/>
  <c r="Q20" i="15"/>
  <c r="N20" i="15"/>
  <c r="K20" i="15"/>
  <c r="H20" i="15"/>
  <c r="AO19" i="15"/>
  <c r="AL19" i="15"/>
  <c r="AI19" i="15"/>
  <c r="AF19" i="15"/>
  <c r="AC19" i="15"/>
  <c r="Z19" i="15"/>
  <c r="W19" i="15"/>
  <c r="T19" i="15"/>
  <c r="Q19" i="15"/>
  <c r="N19" i="15"/>
  <c r="K19" i="15"/>
  <c r="H19" i="15"/>
  <c r="AO18" i="15"/>
  <c r="AL18" i="15"/>
  <c r="AI18" i="15"/>
  <c r="AF18" i="15"/>
  <c r="AC18" i="15"/>
  <c r="Z18" i="15"/>
  <c r="W18" i="15"/>
  <c r="T18" i="15"/>
  <c r="Q18" i="15"/>
  <c r="N18" i="15"/>
  <c r="K18" i="15"/>
  <c r="H18" i="15"/>
  <c r="AO17" i="15"/>
  <c r="AL17" i="15"/>
  <c r="AI17" i="15"/>
  <c r="AF17" i="15"/>
  <c r="AC17" i="15"/>
  <c r="Z17" i="15"/>
  <c r="W17" i="15"/>
  <c r="T17" i="15"/>
  <c r="Q17" i="15"/>
  <c r="N17" i="15"/>
  <c r="K17" i="15"/>
  <c r="H17" i="15"/>
  <c r="AO16" i="15"/>
  <c r="AL16" i="15"/>
  <c r="AI16" i="15"/>
  <c r="AF16" i="15"/>
  <c r="AC16" i="15"/>
  <c r="Z16" i="15"/>
  <c r="W16" i="15"/>
  <c r="T16" i="15"/>
  <c r="Q16" i="15"/>
  <c r="N16" i="15"/>
  <c r="K16" i="15"/>
  <c r="F16" i="15"/>
  <c r="H16" i="15" s="1"/>
  <c r="C16" i="15" s="1"/>
  <c r="AO15" i="15"/>
  <c r="AL15" i="15"/>
  <c r="AI15" i="15"/>
  <c r="AF15" i="15"/>
  <c r="AC15" i="15"/>
  <c r="Z15" i="15"/>
  <c r="W15" i="15"/>
  <c r="T15" i="15"/>
  <c r="Q15" i="15"/>
  <c r="N15" i="15"/>
  <c r="K15" i="15"/>
  <c r="H15" i="15"/>
  <c r="AO14" i="15"/>
  <c r="AL14" i="15"/>
  <c r="AI14" i="15"/>
  <c r="AF14" i="15"/>
  <c r="AC14" i="15"/>
  <c r="Z14" i="15"/>
  <c r="W14" i="15"/>
  <c r="T14" i="15"/>
  <c r="Q14" i="15"/>
  <c r="N14" i="15"/>
  <c r="K14" i="15"/>
  <c r="H14" i="15"/>
  <c r="AO13" i="15"/>
  <c r="AL13" i="15"/>
  <c r="AI13" i="15"/>
  <c r="AF13" i="15"/>
  <c r="AA13" i="15"/>
  <c r="AA22" i="15" s="1"/>
  <c r="Z13" i="15"/>
  <c r="W13" i="15"/>
  <c r="T13" i="15"/>
  <c r="P13" i="15"/>
  <c r="P22" i="15" s="1"/>
  <c r="P33" i="15" s="1"/>
  <c r="O13" i="15"/>
  <c r="O22" i="15" s="1"/>
  <c r="O33" i="15" s="1"/>
  <c r="N13" i="15"/>
  <c r="K13" i="15"/>
  <c r="G13" i="15"/>
  <c r="G22" i="15" s="1"/>
  <c r="G33" i="15" s="1"/>
  <c r="G42" i="15" s="1"/>
  <c r="G46" i="15" s="1"/>
  <c r="G47" i="15" s="1"/>
  <c r="AC12" i="15"/>
  <c r="Z12" i="15"/>
  <c r="C12" i="15" s="1"/>
  <c r="W12" i="15"/>
  <c r="T12" i="15"/>
  <c r="Q12" i="15"/>
  <c r="N12" i="15"/>
  <c r="K12" i="15"/>
  <c r="H12" i="15"/>
  <c r="AO11" i="15"/>
  <c r="AL11" i="15"/>
  <c r="AI11" i="15"/>
  <c r="AF11" i="15"/>
  <c r="AC11" i="15"/>
  <c r="Z11" i="15"/>
  <c r="W11" i="15"/>
  <c r="T11" i="15"/>
  <c r="Q11" i="15"/>
  <c r="N11" i="15"/>
  <c r="K11" i="15"/>
  <c r="H11" i="15"/>
  <c r="C11" i="15"/>
  <c r="AC10" i="15"/>
  <c r="Z10" i="15"/>
  <c r="W10" i="15"/>
  <c r="T10" i="15"/>
  <c r="Q10" i="15"/>
  <c r="N10" i="15"/>
  <c r="K10" i="15"/>
  <c r="H10" i="15"/>
  <c r="C10" i="15" s="1"/>
  <c r="AC9" i="15"/>
  <c r="Z9" i="15"/>
  <c r="W9" i="15"/>
  <c r="T9" i="15"/>
  <c r="Q9" i="15"/>
  <c r="N9" i="15"/>
  <c r="K9" i="15"/>
  <c r="H9" i="15"/>
  <c r="AC8" i="15"/>
  <c r="Z8" i="15"/>
  <c r="W8" i="15"/>
  <c r="T8" i="15"/>
  <c r="Q8" i="15"/>
  <c r="N8" i="15"/>
  <c r="K8" i="15"/>
  <c r="H8" i="15"/>
  <c r="AO7" i="15"/>
  <c r="AL7" i="15"/>
  <c r="AI7" i="15"/>
  <c r="AF7" i="15"/>
  <c r="AC7" i="15"/>
  <c r="Z7" i="15"/>
  <c r="W7" i="15"/>
  <c r="T7" i="15"/>
  <c r="Q7" i="15"/>
  <c r="N7" i="15"/>
  <c r="K7" i="15"/>
  <c r="H7" i="15"/>
  <c r="X4" i="15"/>
  <c r="U4" i="15"/>
  <c r="O4" i="15"/>
  <c r="L4" i="15"/>
  <c r="F4" i="15"/>
  <c r="AA4" i="15" s="1"/>
  <c r="AD99" i="17" l="1"/>
  <c r="AF73" i="17"/>
  <c r="AF31" i="17"/>
  <c r="AA99" i="17"/>
  <c r="AB74" i="17"/>
  <c r="AA74" i="17"/>
  <c r="AB46" i="17"/>
  <c r="AB47" i="17" s="1"/>
  <c r="C10" i="4"/>
  <c r="Z73" i="17"/>
  <c r="X74" i="17"/>
  <c r="X100" i="17" s="1"/>
  <c r="Z31" i="17"/>
  <c r="Z33" i="17" s="1"/>
  <c r="Z42" i="17" s="1"/>
  <c r="Z46" i="17" s="1"/>
  <c r="Z47" i="17" s="1"/>
  <c r="X33" i="17"/>
  <c r="Z22" i="17"/>
  <c r="U33" i="17"/>
  <c r="W31" i="17"/>
  <c r="C14" i="17"/>
  <c r="C13" i="1" s="1"/>
  <c r="C24" i="4"/>
  <c r="T73" i="17"/>
  <c r="Q96" i="17"/>
  <c r="C23" i="4"/>
  <c r="Q61" i="17"/>
  <c r="Q66" i="17" s="1"/>
  <c r="Q31" i="17"/>
  <c r="I33" i="17"/>
  <c r="D25" i="6"/>
  <c r="C94" i="17"/>
  <c r="C99" i="1" s="1"/>
  <c r="C22" i="4"/>
  <c r="P99" i="17"/>
  <c r="C19" i="17"/>
  <c r="C18" i="1" s="1"/>
  <c r="C18" i="17"/>
  <c r="C17" i="1" s="1"/>
  <c r="N46" i="18"/>
  <c r="N47" i="18" s="1"/>
  <c r="L47" i="18"/>
  <c r="AB100" i="18"/>
  <c r="AB102" i="18" s="1"/>
  <c r="T46" i="18"/>
  <c r="T47" i="18" s="1"/>
  <c r="R47" i="18"/>
  <c r="AH99" i="18"/>
  <c r="AH100" i="18" s="1"/>
  <c r="W100" i="18"/>
  <c r="AF100" i="18"/>
  <c r="Z97" i="18"/>
  <c r="G100" i="18"/>
  <c r="G102" i="18" s="1"/>
  <c r="AG100" i="18"/>
  <c r="AJ99" i="18"/>
  <c r="AJ100" i="18" s="1"/>
  <c r="AC74" i="18"/>
  <c r="AC100" i="18" s="1"/>
  <c r="N42" i="18"/>
  <c r="J100" i="18"/>
  <c r="J102" i="18" s="1"/>
  <c r="AL99" i="18"/>
  <c r="AI74" i="18"/>
  <c r="AI100" i="18" s="1"/>
  <c r="U100" i="18"/>
  <c r="AM99" i="18"/>
  <c r="AM100" i="18" s="1"/>
  <c r="AL100" i="18"/>
  <c r="F100" i="18"/>
  <c r="Q22" i="18"/>
  <c r="Q33" i="18" s="1"/>
  <c r="Q42" i="18" s="1"/>
  <c r="Q46" i="18" s="1"/>
  <c r="Q47" i="18" s="1"/>
  <c r="AO100" i="18"/>
  <c r="O100" i="18"/>
  <c r="Q99" i="18"/>
  <c r="P100" i="18"/>
  <c r="P102" i="18" s="1"/>
  <c r="W33" i="18"/>
  <c r="W42" i="18" s="1"/>
  <c r="W46" i="18" s="1"/>
  <c r="W47" i="18" s="1"/>
  <c r="X100" i="18"/>
  <c r="T96" i="18"/>
  <c r="T97" i="18" s="1"/>
  <c r="T99" i="18" s="1"/>
  <c r="Z33" i="18"/>
  <c r="Z42" i="18" s="1"/>
  <c r="Z46" i="18" s="1"/>
  <c r="Z47" i="18" s="1"/>
  <c r="Q74" i="18"/>
  <c r="AC42" i="18"/>
  <c r="AC46" i="18" s="1"/>
  <c r="AC47" i="18" s="1"/>
  <c r="R100" i="18"/>
  <c r="W99" i="18"/>
  <c r="V99" i="18"/>
  <c r="V100" i="18" s="1"/>
  <c r="V102" i="18" s="1"/>
  <c r="AF33" i="18"/>
  <c r="AF42" i="18" s="1"/>
  <c r="AF46" i="18" s="1"/>
  <c r="AF47" i="18" s="1"/>
  <c r="S100" i="18"/>
  <c r="S102" i="18" s="1"/>
  <c r="Z99" i="18"/>
  <c r="Z100" i="18" s="1"/>
  <c r="X99" i="18"/>
  <c r="T74" i="18"/>
  <c r="Y99" i="18"/>
  <c r="Y100" i="18" s="1"/>
  <c r="Y102" i="18" s="1"/>
  <c r="AL33" i="18"/>
  <c r="AL42" i="18" s="1"/>
  <c r="AL46" i="18" s="1"/>
  <c r="AL47" i="18" s="1"/>
  <c r="D46" i="18"/>
  <c r="D47" i="18"/>
  <c r="AF99" i="18"/>
  <c r="AA99" i="18"/>
  <c r="AA100" i="18" s="1"/>
  <c r="L4" i="18"/>
  <c r="O22" i="18"/>
  <c r="O33" i="18" s="1"/>
  <c r="O42" i="18" s="1"/>
  <c r="O46" i="18" s="1"/>
  <c r="O47" i="18" s="1"/>
  <c r="C27" i="18"/>
  <c r="C31" i="18" s="1"/>
  <c r="K31" i="18"/>
  <c r="K33" i="18" s="1"/>
  <c r="K42" i="18" s="1"/>
  <c r="K46" i="18" s="1"/>
  <c r="K47" i="18" s="1"/>
  <c r="O4" i="18"/>
  <c r="H30" i="18"/>
  <c r="C30" i="18" s="1"/>
  <c r="C37" i="18"/>
  <c r="C40" i="18" s="1"/>
  <c r="T95" i="18"/>
  <c r="C95" i="18" s="1"/>
  <c r="C96" i="18" s="1"/>
  <c r="C97" i="18" s="1"/>
  <c r="C99" i="18" s="1"/>
  <c r="R4" i="18"/>
  <c r="H89" i="18"/>
  <c r="H97" i="18" s="1"/>
  <c r="U4" i="18"/>
  <c r="X4" i="18"/>
  <c r="AA4" i="18"/>
  <c r="C69" i="18"/>
  <c r="C73" i="18" s="1"/>
  <c r="AD4" i="18"/>
  <c r="C59" i="18"/>
  <c r="C61" i="18" s="1"/>
  <c r="C66" i="18" s="1"/>
  <c r="C74" i="18" s="1"/>
  <c r="C7" i="18"/>
  <c r="C22" i="18" s="1"/>
  <c r="H84" i="18"/>
  <c r="H96" i="18"/>
  <c r="C28" i="18"/>
  <c r="C125" i="17"/>
  <c r="I42" i="17"/>
  <c r="I46" i="17" s="1"/>
  <c r="I47" i="17" s="1"/>
  <c r="AD74" i="17"/>
  <c r="AF22" i="17"/>
  <c r="AF33" i="17" s="1"/>
  <c r="AF42" i="17" s="1"/>
  <c r="AF46" i="17" s="1"/>
  <c r="AF47" i="17" s="1"/>
  <c r="AD33" i="17"/>
  <c r="AD42" i="17" s="1"/>
  <c r="AC96" i="17"/>
  <c r="AC97" i="17" s="1"/>
  <c r="AC99" i="17" s="1"/>
  <c r="AA100" i="17"/>
  <c r="C28" i="4"/>
  <c r="AC73" i="17"/>
  <c r="AC74" i="17" s="1"/>
  <c r="AC31" i="17"/>
  <c r="AA33" i="17"/>
  <c r="AA42" i="17" s="1"/>
  <c r="AA46" i="17" s="1"/>
  <c r="AA47" i="17" s="1"/>
  <c r="AC22" i="17"/>
  <c r="C27" i="4"/>
  <c r="Z74" i="17"/>
  <c r="X42" i="17"/>
  <c r="X46" i="17" s="1"/>
  <c r="X47" i="17" s="1"/>
  <c r="W96" i="17"/>
  <c r="W97" i="17" s="1"/>
  <c r="W99" i="17" s="1"/>
  <c r="U99" i="17"/>
  <c r="C29" i="4"/>
  <c r="U74" i="17"/>
  <c r="W74" i="17"/>
  <c r="V74" i="17"/>
  <c r="W22" i="17"/>
  <c r="W33" i="17" s="1"/>
  <c r="W42" i="17" s="1"/>
  <c r="W46" i="17" s="1"/>
  <c r="W47" i="17" s="1"/>
  <c r="B11" i="4"/>
  <c r="C11" i="4"/>
  <c r="T96" i="17"/>
  <c r="T97" i="17" s="1"/>
  <c r="R99" i="17"/>
  <c r="C83" i="17"/>
  <c r="C84" i="17" s="1"/>
  <c r="T99" i="17"/>
  <c r="C72" i="17"/>
  <c r="C73" i="1" s="1"/>
  <c r="S74" i="17"/>
  <c r="S100" i="17" s="1"/>
  <c r="S102" i="17" s="1"/>
  <c r="R74" i="17"/>
  <c r="T61" i="17"/>
  <c r="T66" i="17" s="1"/>
  <c r="T74" i="17" s="1"/>
  <c r="T100" i="17" s="1"/>
  <c r="T31" i="17"/>
  <c r="R33" i="17"/>
  <c r="R46" i="17" s="1"/>
  <c r="R47" i="17" s="1"/>
  <c r="C17" i="17"/>
  <c r="C16" i="1" s="1"/>
  <c r="C8" i="17"/>
  <c r="C7" i="1" s="1"/>
  <c r="T22" i="17"/>
  <c r="T33" i="17" s="1"/>
  <c r="T42" i="17" s="1"/>
  <c r="B6" i="4"/>
  <c r="O100" i="17"/>
  <c r="Q97" i="17"/>
  <c r="Q99" i="17" s="1"/>
  <c r="Q100" i="17" s="1"/>
  <c r="P74" i="17"/>
  <c r="Q73" i="17"/>
  <c r="C70" i="17"/>
  <c r="C71" i="1" s="1"/>
  <c r="O74" i="17"/>
  <c r="Q74" i="17"/>
  <c r="O33" i="17"/>
  <c r="O42" i="17" s="1"/>
  <c r="O46" i="17" s="1"/>
  <c r="O47" i="17" s="1"/>
  <c r="C15" i="17"/>
  <c r="C14" i="1" s="1"/>
  <c r="C16" i="17"/>
  <c r="C15" i="1" s="1"/>
  <c r="C10" i="17"/>
  <c r="C9" i="1" s="1"/>
  <c r="Q22" i="17"/>
  <c r="Q33" i="17" s="1"/>
  <c r="Q42" i="17" s="1"/>
  <c r="Q46" i="17" s="1"/>
  <c r="Q47" i="17" s="1"/>
  <c r="C5" i="4"/>
  <c r="B5" i="4"/>
  <c r="C7" i="17"/>
  <c r="C6" i="1" s="1"/>
  <c r="C95" i="17"/>
  <c r="I97" i="17"/>
  <c r="I99" i="17" s="1"/>
  <c r="C93" i="17"/>
  <c r="C98" i="1" s="1"/>
  <c r="K96" i="17"/>
  <c r="K97" i="17" s="1"/>
  <c r="K99" i="17" s="1"/>
  <c r="C25" i="4"/>
  <c r="J74" i="17"/>
  <c r="J100" i="17" s="1"/>
  <c r="J102" i="17" s="1"/>
  <c r="C71" i="17"/>
  <c r="C72" i="1" s="1"/>
  <c r="I74" i="17"/>
  <c r="K73" i="17"/>
  <c r="C60" i="17"/>
  <c r="C60" i="1" s="1"/>
  <c r="K61" i="17"/>
  <c r="K66" i="17" s="1"/>
  <c r="C38" i="17"/>
  <c r="C37" i="1" s="1"/>
  <c r="K40" i="17"/>
  <c r="C28" i="17"/>
  <c r="C27" i="1" s="1"/>
  <c r="K31" i="17"/>
  <c r="C26" i="17"/>
  <c r="C25" i="1" s="1"/>
  <c r="J33" i="17"/>
  <c r="J42" i="17" s="1"/>
  <c r="C13" i="17"/>
  <c r="C12" i="1" s="1"/>
  <c r="K22" i="17"/>
  <c r="F97" i="17"/>
  <c r="F99" i="17" s="1"/>
  <c r="G74" i="17"/>
  <c r="G100" i="17" s="1"/>
  <c r="G102" i="17" s="1"/>
  <c r="H61" i="17"/>
  <c r="H66" i="17" s="1"/>
  <c r="F74" i="17"/>
  <c r="C59" i="17"/>
  <c r="H40" i="17"/>
  <c r="C27" i="17"/>
  <c r="C26" i="1" s="1"/>
  <c r="C4" i="4"/>
  <c r="C21" i="17"/>
  <c r="C20" i="1" s="1"/>
  <c r="C20" i="17"/>
  <c r="C19" i="1" s="1"/>
  <c r="L4" i="17"/>
  <c r="O4" i="17"/>
  <c r="R4" i="17"/>
  <c r="X4" i="17"/>
  <c r="AA4" i="17"/>
  <c r="AD4" i="17"/>
  <c r="AN100" i="17"/>
  <c r="L100" i="17"/>
  <c r="AL97" i="17"/>
  <c r="M100" i="17"/>
  <c r="M102" i="17" s="1"/>
  <c r="H22" i="17"/>
  <c r="AO74" i="17"/>
  <c r="AO100" i="17" s="1"/>
  <c r="AF97" i="17"/>
  <c r="AL99" i="17"/>
  <c r="AL100" i="17" s="1"/>
  <c r="K33" i="17"/>
  <c r="R100" i="17"/>
  <c r="AJ100" i="17"/>
  <c r="AI97" i="17"/>
  <c r="AI99" i="17" s="1"/>
  <c r="AI100" i="17" s="1"/>
  <c r="V99" i="17"/>
  <c r="V100" i="17" s="1"/>
  <c r="V102" i="17" s="1"/>
  <c r="N97" i="17"/>
  <c r="N99" i="17" s="1"/>
  <c r="N100" i="17" s="1"/>
  <c r="AB100" i="17"/>
  <c r="AB102" i="17" s="1"/>
  <c r="AF99" i="17"/>
  <c r="AD100" i="17"/>
  <c r="AE100" i="17"/>
  <c r="AE102" i="17" s="1"/>
  <c r="AF74" i="17"/>
  <c r="AK100" i="17"/>
  <c r="AO99" i="17"/>
  <c r="AL42" i="17"/>
  <c r="AL46" i="17" s="1"/>
  <c r="AL47" i="17" s="1"/>
  <c r="Z100" i="17"/>
  <c r="AG100" i="17"/>
  <c r="D46" i="17"/>
  <c r="D47" i="17"/>
  <c r="N46" i="17"/>
  <c r="N47" i="17" s="1"/>
  <c r="L47" i="17"/>
  <c r="AH100" i="17"/>
  <c r="AE99" i="17"/>
  <c r="N22" i="17"/>
  <c r="N33" i="17" s="1"/>
  <c r="N42" i="17" s="1"/>
  <c r="H30" i="17"/>
  <c r="C30" i="17" s="1"/>
  <c r="C29" i="1" s="1"/>
  <c r="H73" i="17"/>
  <c r="H74" i="17" s="1"/>
  <c r="U4" i="17"/>
  <c r="C37" i="17"/>
  <c r="C64" i="17"/>
  <c r="C65" i="17" s="1"/>
  <c r="F22" i="17"/>
  <c r="F33" i="17" s="1"/>
  <c r="F46" i="17" s="1"/>
  <c r="AO31" i="17"/>
  <c r="AO33" i="17" s="1"/>
  <c r="AO42" i="17" s="1"/>
  <c r="AO46" i="17" s="1"/>
  <c r="AO47" i="17" s="1"/>
  <c r="C88" i="17"/>
  <c r="C89" i="17" s="1"/>
  <c r="H96" i="17"/>
  <c r="H97" i="17" s="1"/>
  <c r="H99" i="17" s="1"/>
  <c r="T46" i="16"/>
  <c r="T47" i="16" s="1"/>
  <c r="R47" i="16"/>
  <c r="J100" i="16"/>
  <c r="J102" i="16" s="1"/>
  <c r="AN100" i="16"/>
  <c r="AI100" i="16"/>
  <c r="M100" i="16"/>
  <c r="M102" i="16" s="1"/>
  <c r="F103" i="16" s="1"/>
  <c r="AO100" i="16"/>
  <c r="O100" i="16"/>
  <c r="P100" i="16"/>
  <c r="P102" i="16" s="1"/>
  <c r="AI99" i="16"/>
  <c r="S100" i="16"/>
  <c r="S102" i="16" s="1"/>
  <c r="AO99" i="16"/>
  <c r="N42" i="16"/>
  <c r="U100" i="16"/>
  <c r="T33" i="16"/>
  <c r="T42" i="16" s="1"/>
  <c r="H99" i="16"/>
  <c r="AH100" i="16"/>
  <c r="W33" i="16"/>
  <c r="W42" i="16" s="1"/>
  <c r="W46" i="16" s="1"/>
  <c r="W47" i="16" s="1"/>
  <c r="I99" i="16"/>
  <c r="I100" i="16" s="1"/>
  <c r="AF99" i="16"/>
  <c r="AF100" i="16" s="1"/>
  <c r="Z33" i="16"/>
  <c r="Z42" i="16" s="1"/>
  <c r="Z46" i="16" s="1"/>
  <c r="Z47" i="16" s="1"/>
  <c r="C61" i="16"/>
  <c r="C66" i="16" s="1"/>
  <c r="J99" i="16"/>
  <c r="AG99" i="16"/>
  <c r="AC22" i="16"/>
  <c r="AC33" i="16" s="1"/>
  <c r="AC42" i="16" s="1"/>
  <c r="AC46" i="16" s="1"/>
  <c r="AC47" i="16" s="1"/>
  <c r="D46" i="16"/>
  <c r="D47" i="16"/>
  <c r="C31" i="16"/>
  <c r="H66" i="16"/>
  <c r="AB100" i="16"/>
  <c r="AB102" i="16" s="1"/>
  <c r="K99" i="16"/>
  <c r="AH99" i="16"/>
  <c r="AF33" i="16"/>
  <c r="AF42" i="16" s="1"/>
  <c r="AF46" i="16" s="1"/>
  <c r="AF47" i="16" s="1"/>
  <c r="H31" i="16"/>
  <c r="K74" i="16"/>
  <c r="K100" i="16" s="1"/>
  <c r="AD100" i="16"/>
  <c r="L99" i="16"/>
  <c r="L100" i="16" s="1"/>
  <c r="AJ99" i="16"/>
  <c r="AJ100" i="16" s="1"/>
  <c r="AI33" i="16"/>
  <c r="AI42" i="16" s="1"/>
  <c r="AI46" i="16" s="1"/>
  <c r="AI47" i="16" s="1"/>
  <c r="N74" i="16"/>
  <c r="N100" i="16" s="1"/>
  <c r="AE100" i="16"/>
  <c r="AE102" i="16" s="1"/>
  <c r="M99" i="16"/>
  <c r="AK99" i="16"/>
  <c r="AK100" i="16" s="1"/>
  <c r="AL42" i="16"/>
  <c r="AL46" i="16" s="1"/>
  <c r="AL47" i="16" s="1"/>
  <c r="N46" i="16"/>
  <c r="N47" i="16" s="1"/>
  <c r="L47" i="16"/>
  <c r="Q74" i="16"/>
  <c r="Q100" i="16" s="1"/>
  <c r="AG100" i="16"/>
  <c r="O99" i="16"/>
  <c r="H97" i="16"/>
  <c r="AF97" i="16"/>
  <c r="T95" i="16"/>
  <c r="T96" i="16" s="1"/>
  <c r="T97" i="16" s="1"/>
  <c r="T99" i="16" s="1"/>
  <c r="F22" i="16"/>
  <c r="AA22" i="16"/>
  <c r="AA33" i="16" s="1"/>
  <c r="AA42" i="16" s="1"/>
  <c r="AA46" i="16" s="1"/>
  <c r="AA47" i="16" s="1"/>
  <c r="H22" i="16"/>
  <c r="H33" i="16" s="1"/>
  <c r="H42" i="16" s="1"/>
  <c r="H46" i="16" s="1"/>
  <c r="Q13" i="16"/>
  <c r="C13" i="16" s="1"/>
  <c r="C22" i="16" s="1"/>
  <c r="C33" i="16" s="1"/>
  <c r="C42" i="16" s="1"/>
  <c r="H71" i="16"/>
  <c r="C71" i="16" s="1"/>
  <c r="T72" i="16"/>
  <c r="C72" i="16" s="1"/>
  <c r="C73" i="16" s="1"/>
  <c r="C109" i="16"/>
  <c r="C125" i="16" s="1"/>
  <c r="F31" i="16"/>
  <c r="C83" i="16"/>
  <c r="C84" i="16" s="1"/>
  <c r="L4" i="16"/>
  <c r="H96" i="16"/>
  <c r="C37" i="16"/>
  <c r="C40" i="16" s="1"/>
  <c r="AC71" i="16"/>
  <c r="AC73" i="16" s="1"/>
  <c r="AC74" i="16" s="1"/>
  <c r="AC100" i="16" s="1"/>
  <c r="H31" i="15"/>
  <c r="I74" i="15"/>
  <c r="I100" i="15" s="1"/>
  <c r="AI31" i="15"/>
  <c r="W40" i="15"/>
  <c r="C8" i="15"/>
  <c r="H13" i="15"/>
  <c r="AL31" i="15"/>
  <c r="L74" i="15"/>
  <c r="L100" i="15" s="1"/>
  <c r="N73" i="15"/>
  <c r="M97" i="15"/>
  <c r="H22" i="15"/>
  <c r="H33" i="15" s="1"/>
  <c r="AB33" i="15"/>
  <c r="AB42" i="15" s="1"/>
  <c r="AB46" i="15" s="1"/>
  <c r="AB47" i="15" s="1"/>
  <c r="AO31" i="15"/>
  <c r="H30" i="15"/>
  <c r="M66" i="15"/>
  <c r="M74" i="15" s="1"/>
  <c r="AN66" i="15"/>
  <c r="AN74" i="15" s="1"/>
  <c r="S96" i="15"/>
  <c r="K22" i="15"/>
  <c r="C9" i="15"/>
  <c r="C18" i="15"/>
  <c r="AD33" i="15"/>
  <c r="AD42" i="15" s="1"/>
  <c r="AD46" i="15" s="1"/>
  <c r="AD47" i="15" s="1"/>
  <c r="C27" i="15"/>
  <c r="K31" i="15"/>
  <c r="AF40" i="15"/>
  <c r="AL61" i="15"/>
  <c r="AL66" i="15" s="1"/>
  <c r="AL74" i="15" s="1"/>
  <c r="C64" i="15"/>
  <c r="C65" i="15" s="1"/>
  <c r="V99" i="15"/>
  <c r="P97" i="15"/>
  <c r="P99" i="15" s="1"/>
  <c r="AN97" i="15"/>
  <c r="K95" i="15"/>
  <c r="K96" i="15" s="1"/>
  <c r="K97" i="15" s="1"/>
  <c r="K99" i="15" s="1"/>
  <c r="C60" i="15"/>
  <c r="AG100" i="15"/>
  <c r="C72" i="15"/>
  <c r="W22" i="15"/>
  <c r="X74" i="15"/>
  <c r="W96" i="15"/>
  <c r="W97" i="15" s="1"/>
  <c r="W99" i="15" s="1"/>
  <c r="Q30" i="15"/>
  <c r="Q31" i="15" s="1"/>
  <c r="T96" i="15"/>
  <c r="T97" i="15" s="1"/>
  <c r="T99" i="15" s="1"/>
  <c r="K73" i="15"/>
  <c r="AC84" i="15"/>
  <c r="AN33" i="15"/>
  <c r="AN42" i="15" s="1"/>
  <c r="AN46" i="15" s="1"/>
  <c r="AN47" i="15" s="1"/>
  <c r="Y74" i="15"/>
  <c r="Y100" i="15" s="1"/>
  <c r="Y102" i="15" s="1"/>
  <c r="Q73" i="15"/>
  <c r="AD99" i="15"/>
  <c r="AD100" i="15" s="1"/>
  <c r="AC97" i="15"/>
  <c r="AC99" i="15" s="1"/>
  <c r="X97" i="15"/>
  <c r="Z96" i="15"/>
  <c r="C94" i="15"/>
  <c r="O42" i="15"/>
  <c r="O46" i="15" s="1"/>
  <c r="O47" i="15" s="1"/>
  <c r="T73" i="15"/>
  <c r="F99" i="15"/>
  <c r="AE99" i="15"/>
  <c r="AE100" i="15" s="1"/>
  <c r="AE102" i="15" s="1"/>
  <c r="Y97" i="15"/>
  <c r="Y99" i="15" s="1"/>
  <c r="AC96" i="15"/>
  <c r="C7" i="15"/>
  <c r="H73" i="15"/>
  <c r="Z97" i="15"/>
  <c r="AI22" i="15"/>
  <c r="AI33" i="15" s="1"/>
  <c r="AI42" i="15" s="1"/>
  <c r="AI46" i="15" s="1"/>
  <c r="AI47" i="15" s="1"/>
  <c r="C20" i="15"/>
  <c r="H61" i="15"/>
  <c r="H66" i="15" s="1"/>
  <c r="H74" i="15" s="1"/>
  <c r="Z73" i="15"/>
  <c r="Z74" i="15" s="1"/>
  <c r="Z100" i="15" s="1"/>
  <c r="AH99" i="15"/>
  <c r="AH100" i="15" s="1"/>
  <c r="AL97" i="15"/>
  <c r="AL99" i="15" s="1"/>
  <c r="AB97" i="15"/>
  <c r="AB99" i="15" s="1"/>
  <c r="AI97" i="15"/>
  <c r="S74" i="15"/>
  <c r="N96" i="15"/>
  <c r="K40" i="15"/>
  <c r="N31" i="15"/>
  <c r="J99" i="15"/>
  <c r="AO66" i="15"/>
  <c r="AO74" i="15" s="1"/>
  <c r="X99" i="15"/>
  <c r="P42" i="15"/>
  <c r="P46" i="15" s="1"/>
  <c r="P47" i="15" s="1"/>
  <c r="T22" i="15"/>
  <c r="AF22" i="15"/>
  <c r="AF33" i="15" s="1"/>
  <c r="AF42" i="15" s="1"/>
  <c r="AF46" i="15" s="1"/>
  <c r="AF47" i="15" s="1"/>
  <c r="C19" i="15"/>
  <c r="T31" i="15"/>
  <c r="N61" i="15"/>
  <c r="N66" i="15" s="1"/>
  <c r="N74" i="15" s="1"/>
  <c r="AF73" i="15"/>
  <c r="AF74" i="15" s="1"/>
  <c r="AF100" i="15" s="1"/>
  <c r="P74" i="15"/>
  <c r="AO96" i="15"/>
  <c r="AO97" i="15" s="1"/>
  <c r="AO99" i="15" s="1"/>
  <c r="AO100" i="15" s="1"/>
  <c r="AN99" i="15"/>
  <c r="AN100" i="15" s="1"/>
  <c r="N22" i="15"/>
  <c r="Q13" i="15"/>
  <c r="S97" i="15"/>
  <c r="Q96" i="15"/>
  <c r="Q97" i="15" s="1"/>
  <c r="Q99" i="15" s="1"/>
  <c r="Q100" i="15" s="1"/>
  <c r="Z22" i="15"/>
  <c r="AF96" i="15"/>
  <c r="AF97" i="15" s="1"/>
  <c r="AF99" i="15" s="1"/>
  <c r="AO22" i="15"/>
  <c r="L33" i="15"/>
  <c r="L42" i="15" s="1"/>
  <c r="L46" i="15" s="1"/>
  <c r="C14" i="15"/>
  <c r="M33" i="15"/>
  <c r="M42" i="15" s="1"/>
  <c r="M46" i="15" s="1"/>
  <c r="M47" i="15" s="1"/>
  <c r="R42" i="15"/>
  <c r="R46" i="15" s="1"/>
  <c r="T46" i="15" s="1"/>
  <c r="T47" i="15" s="1"/>
  <c r="W31" i="15"/>
  <c r="Q61" i="15"/>
  <c r="Q66" i="15" s="1"/>
  <c r="Q74" i="15" s="1"/>
  <c r="Q71" i="15"/>
  <c r="M99" i="15"/>
  <c r="G97" i="15"/>
  <c r="G99" i="15" s="1"/>
  <c r="G100" i="15" s="1"/>
  <c r="G102" i="15" s="1"/>
  <c r="C93" i="15"/>
  <c r="C37" i="15"/>
  <c r="C15" i="15"/>
  <c r="U66" i="15"/>
  <c r="U74" i="15" s="1"/>
  <c r="U100" i="15" s="1"/>
  <c r="AA33" i="15"/>
  <c r="AA42" i="15" s="1"/>
  <c r="AA46" i="15" s="1"/>
  <c r="AA47" i="15" s="1"/>
  <c r="C17" i="15"/>
  <c r="AL22" i="15"/>
  <c r="AA66" i="15"/>
  <c r="AA74" i="15" s="1"/>
  <c r="W73" i="15"/>
  <c r="W74" i="15" s="1"/>
  <c r="AA97" i="15"/>
  <c r="AA99" i="15" s="1"/>
  <c r="AA100" i="15" s="1"/>
  <c r="AB66" i="15"/>
  <c r="K61" i="15"/>
  <c r="K66" i="15" s="1"/>
  <c r="K74" i="15" s="1"/>
  <c r="I4" i="15"/>
  <c r="S33" i="15"/>
  <c r="S42" i="15" s="1"/>
  <c r="S46" i="15" s="1"/>
  <c r="S47" i="15" s="1"/>
  <c r="Z31" i="15"/>
  <c r="N40" i="15"/>
  <c r="T61" i="15"/>
  <c r="T66" i="15" s="1"/>
  <c r="C119" i="15"/>
  <c r="C125" i="15" s="1"/>
  <c r="O99" i="15"/>
  <c r="O100" i="15" s="1"/>
  <c r="X42" i="15"/>
  <c r="X46" i="15" s="1"/>
  <c r="X47" i="15" s="1"/>
  <c r="J74" i="15"/>
  <c r="J100" i="15" s="1"/>
  <c r="J102" i="15" s="1"/>
  <c r="S99" i="15"/>
  <c r="AM99" i="15"/>
  <c r="AI99" i="15"/>
  <c r="N33" i="15"/>
  <c r="AM100" i="15"/>
  <c r="T33" i="15"/>
  <c r="T42" i="15" s="1"/>
  <c r="S100" i="15"/>
  <c r="S102" i="15" s="1"/>
  <c r="Z99" i="15"/>
  <c r="V100" i="15"/>
  <c r="V102" i="15" s="1"/>
  <c r="H42" i="15"/>
  <c r="H46" i="15" s="1"/>
  <c r="T74" i="15"/>
  <c r="X100" i="15"/>
  <c r="F100" i="15"/>
  <c r="D47" i="15"/>
  <c r="D46" i="15"/>
  <c r="AL33" i="15"/>
  <c r="AL42" i="15" s="1"/>
  <c r="AL46" i="15" s="1"/>
  <c r="AL47" i="15" s="1"/>
  <c r="AO33" i="15"/>
  <c r="AB74" i="15"/>
  <c r="N99" i="15"/>
  <c r="N100" i="15" s="1"/>
  <c r="N97" i="15"/>
  <c r="N46" i="15"/>
  <c r="N47" i="15" s="1"/>
  <c r="L47" i="15"/>
  <c r="AI74" i="15"/>
  <c r="R100" i="15"/>
  <c r="AJ99" i="15"/>
  <c r="AJ100" i="15" s="1"/>
  <c r="C38" i="15"/>
  <c r="C59" i="15"/>
  <c r="C61" i="15" s="1"/>
  <c r="AC71" i="15"/>
  <c r="AO40" i="15"/>
  <c r="H95" i="15"/>
  <c r="F22" i="15"/>
  <c r="F33" i="15" s="1"/>
  <c r="F42" i="15" s="1"/>
  <c r="F46" i="15" s="1"/>
  <c r="F47" i="15" s="1"/>
  <c r="AC13" i="15"/>
  <c r="C13" i="15" s="1"/>
  <c r="R4" i="15"/>
  <c r="Q22" i="15"/>
  <c r="C88" i="15"/>
  <c r="C89" i="15" s="1"/>
  <c r="C26" i="15"/>
  <c r="C70" i="15"/>
  <c r="AD4" i="15"/>
  <c r="C69" i="15"/>
  <c r="C39" i="15"/>
  <c r="C83" i="15"/>
  <c r="C84" i="15" s="1"/>
  <c r="C116" i="14"/>
  <c r="G13" i="14"/>
  <c r="AA130" i="14"/>
  <c r="X130" i="14"/>
  <c r="U130" i="14"/>
  <c r="R130" i="14"/>
  <c r="O130" i="14"/>
  <c r="L130" i="14"/>
  <c r="I130" i="14"/>
  <c r="C129" i="14"/>
  <c r="C123" i="14"/>
  <c r="C122" i="14"/>
  <c r="C121" i="14"/>
  <c r="C120" i="14"/>
  <c r="C119" i="14"/>
  <c r="C118" i="14"/>
  <c r="C117" i="14"/>
  <c r="C115" i="14"/>
  <c r="C114" i="14"/>
  <c r="C113" i="14"/>
  <c r="F125" i="14"/>
  <c r="F130" i="14" s="1"/>
  <c r="C111" i="14"/>
  <c r="C110" i="14"/>
  <c r="C109" i="14"/>
  <c r="L97" i="14"/>
  <c r="AN96" i="14"/>
  <c r="AM96" i="14"/>
  <c r="AK96" i="14"/>
  <c r="AJ96" i="14"/>
  <c r="AH96" i="14"/>
  <c r="AG96" i="14"/>
  <c r="AE96" i="14"/>
  <c r="AD96" i="14"/>
  <c r="AB96" i="14"/>
  <c r="AA96" i="14"/>
  <c r="Y96" i="14"/>
  <c r="X96" i="14"/>
  <c r="V96" i="14"/>
  <c r="U96" i="14"/>
  <c r="S96" i="14"/>
  <c r="R96" i="14"/>
  <c r="P96" i="14"/>
  <c r="O96" i="14"/>
  <c r="M96" i="14"/>
  <c r="L96" i="14"/>
  <c r="J96" i="14"/>
  <c r="I96" i="14"/>
  <c r="F96" i="14"/>
  <c r="AO95" i="14"/>
  <c r="AL95" i="14"/>
  <c r="AI95" i="14"/>
  <c r="AF95" i="14"/>
  <c r="AC95" i="14"/>
  <c r="Z95" i="14"/>
  <c r="W95" i="14"/>
  <c r="T95" i="14"/>
  <c r="Q95" i="14"/>
  <c r="N95" i="14"/>
  <c r="K95" i="14"/>
  <c r="H95" i="14"/>
  <c r="AO94" i="14"/>
  <c r="AL94" i="14"/>
  <c r="AI94" i="14"/>
  <c r="AF94" i="14"/>
  <c r="AC94" i="14"/>
  <c r="Z94" i="14"/>
  <c r="W94" i="14"/>
  <c r="T94" i="14"/>
  <c r="Q94" i="14"/>
  <c r="N94" i="14"/>
  <c r="K94" i="14"/>
  <c r="H94" i="14"/>
  <c r="AO93" i="14"/>
  <c r="AL93" i="14"/>
  <c r="AI93" i="14"/>
  <c r="AF93" i="14"/>
  <c r="AC93" i="14"/>
  <c r="Z93" i="14"/>
  <c r="W93" i="14"/>
  <c r="T93" i="14"/>
  <c r="Q93" i="14"/>
  <c r="N93" i="14"/>
  <c r="K93" i="14"/>
  <c r="H93" i="14"/>
  <c r="AO92" i="14"/>
  <c r="AL92" i="14"/>
  <c r="AI92" i="14"/>
  <c r="AI96" i="14" s="1"/>
  <c r="AF92" i="14"/>
  <c r="AF96" i="14" s="1"/>
  <c r="AC92" i="14"/>
  <c r="Z92" i="14"/>
  <c r="W92" i="14"/>
  <c r="W96" i="14" s="1"/>
  <c r="T92" i="14"/>
  <c r="Q92" i="14"/>
  <c r="N92" i="14"/>
  <c r="N96" i="14" s="1"/>
  <c r="K92" i="14"/>
  <c r="H92" i="14"/>
  <c r="AN89" i="14"/>
  <c r="AM89" i="14"/>
  <c r="AK89" i="14"/>
  <c r="AJ89" i="14"/>
  <c r="AH89" i="14"/>
  <c r="AG89" i="14"/>
  <c r="AE89" i="14"/>
  <c r="AD89" i="14"/>
  <c r="AD97" i="14" s="1"/>
  <c r="AC89" i="14"/>
  <c r="AB89" i="14"/>
  <c r="AB97" i="14" s="1"/>
  <c r="AA89" i="14"/>
  <c r="Y89" i="14"/>
  <c r="Y97" i="14" s="1"/>
  <c r="Y99" i="14" s="1"/>
  <c r="X89" i="14"/>
  <c r="V89" i="14"/>
  <c r="V97" i="14" s="1"/>
  <c r="U89" i="14"/>
  <c r="U97" i="14" s="1"/>
  <c r="S89" i="14"/>
  <c r="R89" i="14"/>
  <c r="P89" i="14"/>
  <c r="O89" i="14"/>
  <c r="M89" i="14"/>
  <c r="L89" i="14"/>
  <c r="J89" i="14"/>
  <c r="I89" i="14"/>
  <c r="G89" i="14"/>
  <c r="F89" i="14"/>
  <c r="AO88" i="14"/>
  <c r="AO89" i="14" s="1"/>
  <c r="AL88" i="14"/>
  <c r="AL89" i="14" s="1"/>
  <c r="AI88" i="14"/>
  <c r="AI89" i="14" s="1"/>
  <c r="AF88" i="14"/>
  <c r="AF89" i="14" s="1"/>
  <c r="AC88" i="14"/>
  <c r="Z88" i="14"/>
  <c r="Z89" i="14" s="1"/>
  <c r="W88" i="14"/>
  <c r="W89" i="14" s="1"/>
  <c r="T88" i="14"/>
  <c r="T89" i="14" s="1"/>
  <c r="Q88" i="14"/>
  <c r="Q89" i="14" s="1"/>
  <c r="N88" i="14"/>
  <c r="N89" i="14" s="1"/>
  <c r="K88" i="14"/>
  <c r="K89" i="14" s="1"/>
  <c r="H88" i="14"/>
  <c r="H89" i="14" s="1"/>
  <c r="AO87" i="14"/>
  <c r="AL87" i="14"/>
  <c r="AI87" i="14"/>
  <c r="AF87" i="14"/>
  <c r="AC87" i="14"/>
  <c r="Z87" i="14"/>
  <c r="W87" i="14"/>
  <c r="T87" i="14"/>
  <c r="Q87" i="14"/>
  <c r="N87" i="14"/>
  <c r="K87" i="14"/>
  <c r="H87" i="14"/>
  <c r="AO86" i="14"/>
  <c r="AL86" i="14"/>
  <c r="AI86" i="14"/>
  <c r="AF86" i="14"/>
  <c r="AC86" i="14"/>
  <c r="Z86" i="14"/>
  <c r="W86" i="14"/>
  <c r="T86" i="14"/>
  <c r="Q86" i="14"/>
  <c r="N86" i="14"/>
  <c r="K86" i="14"/>
  <c r="H86" i="14"/>
  <c r="AN84" i="14"/>
  <c r="AM84" i="14"/>
  <c r="AK84" i="14"/>
  <c r="AJ84" i="14"/>
  <c r="AH84" i="14"/>
  <c r="AG84" i="14"/>
  <c r="AE84" i="14"/>
  <c r="AD84" i="14"/>
  <c r="AB84" i="14"/>
  <c r="AA84" i="14"/>
  <c r="Y84" i="14"/>
  <c r="X84" i="14"/>
  <c r="V84" i="14"/>
  <c r="V99" i="14" s="1"/>
  <c r="U84" i="14"/>
  <c r="S84" i="14"/>
  <c r="R84" i="14"/>
  <c r="P84" i="14"/>
  <c r="O84" i="14"/>
  <c r="M84" i="14"/>
  <c r="L84" i="14"/>
  <c r="J84" i="14"/>
  <c r="I84" i="14"/>
  <c r="G84" i="14"/>
  <c r="F84" i="14"/>
  <c r="AO83" i="14"/>
  <c r="AO84" i="14" s="1"/>
  <c r="AL83" i="14"/>
  <c r="AL84" i="14" s="1"/>
  <c r="AI83" i="14"/>
  <c r="AI84" i="14" s="1"/>
  <c r="AF83" i="14"/>
  <c r="AF84" i="14" s="1"/>
  <c r="AC83" i="14"/>
  <c r="Z83" i="14"/>
  <c r="W83" i="14"/>
  <c r="T83" i="14"/>
  <c r="Q83" i="14"/>
  <c r="N83" i="14"/>
  <c r="N84" i="14" s="1"/>
  <c r="K83" i="14"/>
  <c r="H83" i="14"/>
  <c r="C81" i="14"/>
  <c r="AN73" i="14"/>
  <c r="AM73" i="14"/>
  <c r="AK73" i="14"/>
  <c r="AJ73" i="14"/>
  <c r="AH73" i="14"/>
  <c r="AG73" i="14"/>
  <c r="AE73" i="14"/>
  <c r="AD73" i="14"/>
  <c r="AB73" i="14"/>
  <c r="AA73" i="14"/>
  <c r="Y73" i="14"/>
  <c r="X73" i="14"/>
  <c r="V73" i="14"/>
  <c r="U73" i="14"/>
  <c r="S73" i="14"/>
  <c r="R73" i="14"/>
  <c r="O73" i="14"/>
  <c r="M73" i="14"/>
  <c r="L73" i="14"/>
  <c r="I73" i="14"/>
  <c r="G73" i="14"/>
  <c r="F73" i="14"/>
  <c r="AO72" i="14"/>
  <c r="AL72" i="14"/>
  <c r="AI72" i="14"/>
  <c r="AF72" i="14"/>
  <c r="AC72" i="14"/>
  <c r="Z72" i="14"/>
  <c r="W72" i="14"/>
  <c r="T72" i="14"/>
  <c r="Q72" i="14"/>
  <c r="N72" i="14"/>
  <c r="K72" i="14"/>
  <c r="H72" i="14"/>
  <c r="AO71" i="14"/>
  <c r="AL71" i="14"/>
  <c r="AI71" i="14"/>
  <c r="AF71" i="14"/>
  <c r="AC71" i="14"/>
  <c r="Z71" i="14"/>
  <c r="W71" i="14"/>
  <c r="T71" i="14"/>
  <c r="Q71" i="14"/>
  <c r="P73" i="14"/>
  <c r="N71" i="14"/>
  <c r="K71" i="14"/>
  <c r="H71" i="14"/>
  <c r="AO70" i="14"/>
  <c r="AL70" i="14"/>
  <c r="AI70" i="14"/>
  <c r="AF70" i="14"/>
  <c r="AC70" i="14"/>
  <c r="Z70" i="14"/>
  <c r="W70" i="14"/>
  <c r="T70" i="14"/>
  <c r="Q70" i="14"/>
  <c r="N70" i="14"/>
  <c r="K70" i="14"/>
  <c r="H70" i="14"/>
  <c r="AO69" i="14"/>
  <c r="AL69" i="14"/>
  <c r="AI69" i="14"/>
  <c r="AF69" i="14"/>
  <c r="AC69" i="14"/>
  <c r="Z69" i="14"/>
  <c r="W69" i="14"/>
  <c r="T69" i="14"/>
  <c r="Q69" i="14"/>
  <c r="N69" i="14"/>
  <c r="K69" i="14"/>
  <c r="C69" i="14" s="1"/>
  <c r="H69" i="14"/>
  <c r="AN66" i="14"/>
  <c r="AN74" i="14" s="1"/>
  <c r="AH66" i="14"/>
  <c r="AH74" i="14" s="1"/>
  <c r="Y66" i="14"/>
  <c r="Y74" i="14" s="1"/>
  <c r="AO65" i="14"/>
  <c r="AN65" i="14"/>
  <c r="AM65" i="14"/>
  <c r="AL65" i="14"/>
  <c r="AK65" i="14"/>
  <c r="AJ65" i="14"/>
  <c r="AI65" i="14"/>
  <c r="AH65" i="14"/>
  <c r="AG65" i="14"/>
  <c r="AG66" i="14" s="1"/>
  <c r="AF65" i="14"/>
  <c r="AE65" i="14"/>
  <c r="AE66" i="14" s="1"/>
  <c r="AE74" i="14" s="1"/>
  <c r="AD65" i="14"/>
  <c r="AC65" i="14"/>
  <c r="AB65" i="14"/>
  <c r="AA65" i="14"/>
  <c r="Z65" i="14"/>
  <c r="Y65" i="14"/>
  <c r="X65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G65" i="14"/>
  <c r="F65" i="14"/>
  <c r="H64" i="14"/>
  <c r="H65" i="14" s="1"/>
  <c r="AN61" i="14"/>
  <c r="AM61" i="14"/>
  <c r="AK61" i="14"/>
  <c r="AJ61" i="14"/>
  <c r="AH61" i="14"/>
  <c r="AG61" i="14"/>
  <c r="AE61" i="14"/>
  <c r="AD61" i="14"/>
  <c r="AB61" i="14"/>
  <c r="AB66" i="14" s="1"/>
  <c r="AB74" i="14" s="1"/>
  <c r="AA61" i="14"/>
  <c r="Y61" i="14"/>
  <c r="X61" i="14"/>
  <c r="X66" i="14" s="1"/>
  <c r="V61" i="14"/>
  <c r="V66" i="14" s="1"/>
  <c r="U61" i="14"/>
  <c r="U66" i="14" s="1"/>
  <c r="S61" i="14"/>
  <c r="S66" i="14" s="1"/>
  <c r="R61" i="14"/>
  <c r="R66" i="14" s="1"/>
  <c r="P61" i="14"/>
  <c r="P66" i="14" s="1"/>
  <c r="O61" i="14"/>
  <c r="M61" i="14"/>
  <c r="M66" i="14" s="1"/>
  <c r="M74" i="14" s="1"/>
  <c r="L61" i="14"/>
  <c r="L66" i="14" s="1"/>
  <c r="L74" i="14" s="1"/>
  <c r="J61" i="14"/>
  <c r="J66" i="14" s="1"/>
  <c r="I61" i="14"/>
  <c r="I66" i="14" s="1"/>
  <c r="G61" i="14"/>
  <c r="F61" i="14"/>
  <c r="AO60" i="14"/>
  <c r="AL60" i="14"/>
  <c r="AI60" i="14"/>
  <c r="AF60" i="14"/>
  <c r="AC60" i="14"/>
  <c r="AC61" i="14" s="1"/>
  <c r="AC66" i="14" s="1"/>
  <c r="Z60" i="14"/>
  <c r="W60" i="14"/>
  <c r="W61" i="14" s="1"/>
  <c r="W66" i="14" s="1"/>
  <c r="T60" i="14"/>
  <c r="Q60" i="14"/>
  <c r="N60" i="14"/>
  <c r="K60" i="14"/>
  <c r="H60" i="14"/>
  <c r="AO59" i="14"/>
  <c r="AO61" i="14" s="1"/>
  <c r="AO66" i="14" s="1"/>
  <c r="AL59" i="14"/>
  <c r="AL61" i="14" s="1"/>
  <c r="AL66" i="14" s="1"/>
  <c r="AI59" i="14"/>
  <c r="AI61" i="14" s="1"/>
  <c r="AI66" i="14" s="1"/>
  <c r="AF59" i="14"/>
  <c r="AC59" i="14"/>
  <c r="Z59" i="14"/>
  <c r="W59" i="14"/>
  <c r="T59" i="14"/>
  <c r="Q59" i="14"/>
  <c r="N59" i="14"/>
  <c r="K59" i="14"/>
  <c r="H59" i="14"/>
  <c r="C53" i="14"/>
  <c r="A50" i="14"/>
  <c r="AO41" i="14"/>
  <c r="AL41" i="14"/>
  <c r="AI41" i="14"/>
  <c r="AF41" i="14"/>
  <c r="AC41" i="14"/>
  <c r="Z41" i="14"/>
  <c r="W41" i="14"/>
  <c r="T41" i="14"/>
  <c r="Q41" i="14"/>
  <c r="N41" i="14"/>
  <c r="K41" i="14"/>
  <c r="H41" i="14"/>
  <c r="AN40" i="14"/>
  <c r="AM40" i="14"/>
  <c r="AK40" i="14"/>
  <c r="AJ40" i="14"/>
  <c r="AH40" i="14"/>
  <c r="AG40" i="14"/>
  <c r="AE40" i="14"/>
  <c r="AD40" i="14"/>
  <c r="AB40" i="14"/>
  <c r="AA40" i="14"/>
  <c r="Y40" i="14"/>
  <c r="X40" i="14"/>
  <c r="V40" i="14"/>
  <c r="U40" i="14"/>
  <c r="S40" i="14"/>
  <c r="R40" i="14"/>
  <c r="P40" i="14"/>
  <c r="O40" i="14"/>
  <c r="M40" i="14"/>
  <c r="L40" i="14"/>
  <c r="J40" i="14"/>
  <c r="I40" i="14"/>
  <c r="G40" i="14"/>
  <c r="F40" i="14"/>
  <c r="D40" i="14"/>
  <c r="AO39" i="14"/>
  <c r="AL39" i="14"/>
  <c r="AI39" i="14"/>
  <c r="AF39" i="14"/>
  <c r="AC39" i="14"/>
  <c r="Z39" i="14"/>
  <c r="W39" i="14"/>
  <c r="T39" i="14"/>
  <c r="Q39" i="14"/>
  <c r="N39" i="14"/>
  <c r="K39" i="14"/>
  <c r="H39" i="14"/>
  <c r="AO38" i="14"/>
  <c r="AL38" i="14"/>
  <c r="AI38" i="14"/>
  <c r="AF38" i="14"/>
  <c r="AC38" i="14"/>
  <c r="Z38" i="14"/>
  <c r="W38" i="14"/>
  <c r="T38" i="14"/>
  <c r="Q38" i="14"/>
  <c r="N38" i="14"/>
  <c r="K38" i="14"/>
  <c r="H38" i="14"/>
  <c r="AO37" i="14"/>
  <c r="AL37" i="14"/>
  <c r="AL40" i="14" s="1"/>
  <c r="AI37" i="14"/>
  <c r="AI40" i="14" s="1"/>
  <c r="AF37" i="14"/>
  <c r="AF40" i="14" s="1"/>
  <c r="AC37" i="14"/>
  <c r="AC40" i="14" s="1"/>
  <c r="Z37" i="14"/>
  <c r="W37" i="14"/>
  <c r="T37" i="14"/>
  <c r="Q37" i="14"/>
  <c r="N37" i="14"/>
  <c r="K37" i="14"/>
  <c r="H37" i="14"/>
  <c r="AO32" i="14"/>
  <c r="AL32" i="14"/>
  <c r="AI32" i="14"/>
  <c r="AF32" i="14"/>
  <c r="AC32" i="14"/>
  <c r="Z32" i="14"/>
  <c r="W32" i="14"/>
  <c r="T32" i="14"/>
  <c r="Q32" i="14"/>
  <c r="N32" i="14"/>
  <c r="K32" i="14"/>
  <c r="H32" i="14"/>
  <c r="AN31" i="14"/>
  <c r="AM31" i="14"/>
  <c r="AK31" i="14"/>
  <c r="AJ31" i="14"/>
  <c r="AH31" i="14"/>
  <c r="AG31" i="14"/>
  <c r="AE31" i="14"/>
  <c r="AD31" i="14"/>
  <c r="AB31" i="14"/>
  <c r="AA31" i="14"/>
  <c r="Y31" i="14"/>
  <c r="X31" i="14"/>
  <c r="V31" i="14"/>
  <c r="U31" i="14"/>
  <c r="S31" i="14"/>
  <c r="R31" i="14"/>
  <c r="P31" i="14"/>
  <c r="M31" i="14"/>
  <c r="L31" i="14"/>
  <c r="J31" i="14"/>
  <c r="G31" i="14"/>
  <c r="D31" i="14"/>
  <c r="AO30" i="14"/>
  <c r="AL30" i="14"/>
  <c r="AI30" i="14"/>
  <c r="AF30" i="14"/>
  <c r="AC30" i="14"/>
  <c r="Z30" i="14"/>
  <c r="W30" i="14"/>
  <c r="T30" i="14"/>
  <c r="O31" i="14"/>
  <c r="N30" i="14"/>
  <c r="K30" i="14"/>
  <c r="I31" i="14"/>
  <c r="F31" i="14"/>
  <c r="AO29" i="14"/>
  <c r="AL29" i="14"/>
  <c r="AI29" i="14"/>
  <c r="AF29" i="14"/>
  <c r="AC29" i="14"/>
  <c r="Z29" i="14"/>
  <c r="W29" i="14"/>
  <c r="T29" i="14"/>
  <c r="Q29" i="14"/>
  <c r="N29" i="14"/>
  <c r="K29" i="14"/>
  <c r="H29" i="14"/>
  <c r="AO28" i="14"/>
  <c r="AL28" i="14"/>
  <c r="AI28" i="14"/>
  <c r="AF28" i="14"/>
  <c r="AC28" i="14"/>
  <c r="Z28" i="14"/>
  <c r="W28" i="14"/>
  <c r="T28" i="14"/>
  <c r="Q28" i="14"/>
  <c r="N28" i="14"/>
  <c r="K28" i="14"/>
  <c r="H28" i="14"/>
  <c r="AO27" i="14"/>
  <c r="AL27" i="14"/>
  <c r="AI27" i="14"/>
  <c r="AF27" i="14"/>
  <c r="AC27" i="14"/>
  <c r="Z27" i="14"/>
  <c r="W27" i="14"/>
  <c r="T27" i="14"/>
  <c r="Q27" i="14"/>
  <c r="N27" i="14"/>
  <c r="K27" i="14"/>
  <c r="H27" i="14"/>
  <c r="AO26" i="14"/>
  <c r="AL26" i="14"/>
  <c r="AI26" i="14"/>
  <c r="AF26" i="14"/>
  <c r="AC26" i="14"/>
  <c r="Z26" i="14"/>
  <c r="W26" i="14"/>
  <c r="T26" i="14"/>
  <c r="Q26" i="14"/>
  <c r="N26" i="14"/>
  <c r="N31" i="14" s="1"/>
  <c r="K26" i="14"/>
  <c r="H26" i="14"/>
  <c r="AN22" i="14"/>
  <c r="AM22" i="14"/>
  <c r="AK22" i="14"/>
  <c r="AJ22" i="14"/>
  <c r="AJ33" i="14" s="1"/>
  <c r="AJ42" i="14" s="1"/>
  <c r="AJ46" i="14" s="1"/>
  <c r="AJ47" i="14" s="1"/>
  <c r="AH22" i="14"/>
  <c r="AH33" i="14" s="1"/>
  <c r="AH42" i="14" s="1"/>
  <c r="AH46" i="14" s="1"/>
  <c r="AH47" i="14" s="1"/>
  <c r="AG22" i="14"/>
  <c r="AG33" i="14" s="1"/>
  <c r="AE22" i="14"/>
  <c r="AE33" i="14" s="1"/>
  <c r="AD22" i="14"/>
  <c r="AD33" i="14" s="1"/>
  <c r="AB22" i="14"/>
  <c r="AB33" i="14" s="1"/>
  <c r="AB42" i="14" s="1"/>
  <c r="Y22" i="14"/>
  <c r="Y33" i="14" s="1"/>
  <c r="Y42" i="14" s="1"/>
  <c r="X22" i="14"/>
  <c r="V22" i="14"/>
  <c r="S22" i="14"/>
  <c r="R22" i="14"/>
  <c r="M22" i="14"/>
  <c r="M33" i="14" s="1"/>
  <c r="M42" i="14" s="1"/>
  <c r="M46" i="14" s="1"/>
  <c r="M47" i="14" s="1"/>
  <c r="L22" i="14"/>
  <c r="L33" i="14" s="1"/>
  <c r="L42" i="14" s="1"/>
  <c r="L46" i="14" s="1"/>
  <c r="J22" i="14"/>
  <c r="J33" i="14" s="1"/>
  <c r="J42" i="14" s="1"/>
  <c r="I22" i="14"/>
  <c r="G22" i="14"/>
  <c r="D22" i="14"/>
  <c r="D33" i="14" s="1"/>
  <c r="D42" i="14" s="1"/>
  <c r="AO21" i="14"/>
  <c r="AL21" i="14"/>
  <c r="AI21" i="14"/>
  <c r="AF21" i="14"/>
  <c r="AC21" i="14"/>
  <c r="Z21" i="14"/>
  <c r="W21" i="14"/>
  <c r="T21" i="14"/>
  <c r="Q21" i="14"/>
  <c r="N21" i="14"/>
  <c r="K21" i="14"/>
  <c r="H21" i="14"/>
  <c r="AO20" i="14"/>
  <c r="AL20" i="14"/>
  <c r="AI20" i="14"/>
  <c r="AF20" i="14"/>
  <c r="AC20" i="14"/>
  <c r="Z20" i="14"/>
  <c r="W20" i="14"/>
  <c r="T20" i="14"/>
  <c r="Q20" i="14"/>
  <c r="N20" i="14"/>
  <c r="K20" i="14"/>
  <c r="H20" i="14"/>
  <c r="AO19" i="14"/>
  <c r="AL19" i="14"/>
  <c r="AI19" i="14"/>
  <c r="AF19" i="14"/>
  <c r="AC19" i="14"/>
  <c r="Z19" i="14"/>
  <c r="W19" i="14"/>
  <c r="T19" i="14"/>
  <c r="Q19" i="14"/>
  <c r="N19" i="14"/>
  <c r="K19" i="14"/>
  <c r="H19" i="14"/>
  <c r="C19" i="14" s="1"/>
  <c r="AO18" i="14"/>
  <c r="AL18" i="14"/>
  <c r="AI18" i="14"/>
  <c r="AF18" i="14"/>
  <c r="AC18" i="14"/>
  <c r="Z18" i="14"/>
  <c r="W18" i="14"/>
  <c r="T18" i="14"/>
  <c r="Q18" i="14"/>
  <c r="N18" i="14"/>
  <c r="K18" i="14"/>
  <c r="H18" i="14"/>
  <c r="AO17" i="14"/>
  <c r="AL17" i="14"/>
  <c r="AI17" i="14"/>
  <c r="AF17" i="14"/>
  <c r="AC17" i="14"/>
  <c r="Z17" i="14"/>
  <c r="W17" i="14"/>
  <c r="T17" i="14"/>
  <c r="Q17" i="14"/>
  <c r="N17" i="14"/>
  <c r="K17" i="14"/>
  <c r="H17" i="14"/>
  <c r="AO16" i="14"/>
  <c r="AL16" i="14"/>
  <c r="AI16" i="14"/>
  <c r="AF16" i="14"/>
  <c r="AC16" i="14"/>
  <c r="Z16" i="14"/>
  <c r="W16" i="14"/>
  <c r="T16" i="14"/>
  <c r="Q16" i="14"/>
  <c r="N16" i="14"/>
  <c r="K16" i="14"/>
  <c r="H16" i="14"/>
  <c r="F22" i="14"/>
  <c r="AO15" i="14"/>
  <c r="AL15" i="14"/>
  <c r="AI15" i="14"/>
  <c r="AF15" i="14"/>
  <c r="AC15" i="14"/>
  <c r="Z15" i="14"/>
  <c r="W15" i="14"/>
  <c r="T15" i="14"/>
  <c r="Q15" i="14"/>
  <c r="N15" i="14"/>
  <c r="K15" i="14"/>
  <c r="H15" i="14"/>
  <c r="AO14" i="14"/>
  <c r="AL14" i="14"/>
  <c r="AI14" i="14"/>
  <c r="AF14" i="14"/>
  <c r="AC14" i="14"/>
  <c r="Z14" i="14"/>
  <c r="W14" i="14"/>
  <c r="T14" i="14"/>
  <c r="Q14" i="14"/>
  <c r="N14" i="14"/>
  <c r="K14" i="14"/>
  <c r="H14" i="14"/>
  <c r="AO13" i="14"/>
  <c r="AL13" i="14"/>
  <c r="AI13" i="14"/>
  <c r="AF13" i="14"/>
  <c r="AC13" i="14"/>
  <c r="AA22" i="14"/>
  <c r="Z13" i="14"/>
  <c r="U22" i="14"/>
  <c r="T13" i="14"/>
  <c r="P22" i="14"/>
  <c r="Q13" i="14"/>
  <c r="N13" i="14"/>
  <c r="K13" i="14"/>
  <c r="H13" i="14"/>
  <c r="AC12" i="14"/>
  <c r="Z12" i="14"/>
  <c r="W12" i="14"/>
  <c r="T12" i="14"/>
  <c r="Q12" i="14"/>
  <c r="N12" i="14"/>
  <c r="K12" i="14"/>
  <c r="H12" i="14"/>
  <c r="AO11" i="14"/>
  <c r="AL11" i="14"/>
  <c r="AI11" i="14"/>
  <c r="AF11" i="14"/>
  <c r="AC11" i="14"/>
  <c r="Z11" i="14"/>
  <c r="W11" i="14"/>
  <c r="T11" i="14"/>
  <c r="Q11" i="14"/>
  <c r="N11" i="14"/>
  <c r="K11" i="14"/>
  <c r="H11" i="14"/>
  <c r="AC10" i="14"/>
  <c r="Z10" i="14"/>
  <c r="W10" i="14"/>
  <c r="T10" i="14"/>
  <c r="Q10" i="14"/>
  <c r="N10" i="14"/>
  <c r="K10" i="14"/>
  <c r="H10" i="14"/>
  <c r="AC9" i="14"/>
  <c r="Z9" i="14"/>
  <c r="W9" i="14"/>
  <c r="T9" i="14"/>
  <c r="Q9" i="14"/>
  <c r="N9" i="14"/>
  <c r="K9" i="14"/>
  <c r="H9" i="14"/>
  <c r="AC8" i="14"/>
  <c r="Z8" i="14"/>
  <c r="W8" i="14"/>
  <c r="T8" i="14"/>
  <c r="Q8" i="14"/>
  <c r="N8" i="14"/>
  <c r="K8" i="14"/>
  <c r="H8" i="14"/>
  <c r="AO7" i="14"/>
  <c r="AL7" i="14"/>
  <c r="AI7" i="14"/>
  <c r="AF7" i="14"/>
  <c r="AC7" i="14"/>
  <c r="Z7" i="14"/>
  <c r="W7" i="14"/>
  <c r="T7" i="14"/>
  <c r="Q7" i="14"/>
  <c r="N7" i="14"/>
  <c r="K7" i="14"/>
  <c r="H7" i="14"/>
  <c r="F4" i="14"/>
  <c r="AD4" i="14" s="1"/>
  <c r="B10" i="4" l="1"/>
  <c r="B9" i="4"/>
  <c r="W100" i="17"/>
  <c r="T46" i="17"/>
  <c r="T47" i="17" s="1"/>
  <c r="P100" i="17"/>
  <c r="P102" i="17" s="1"/>
  <c r="B7" i="4"/>
  <c r="F100" i="17"/>
  <c r="F103" i="17"/>
  <c r="B4" i="4"/>
  <c r="F47" i="17"/>
  <c r="C100" i="18"/>
  <c r="T100" i="18"/>
  <c r="F103" i="18"/>
  <c r="H31" i="18"/>
  <c r="H33" i="18" s="1"/>
  <c r="H42" i="18" s="1"/>
  <c r="H46" i="18" s="1"/>
  <c r="H99" i="18"/>
  <c r="H100" i="18" s="1"/>
  <c r="AO101" i="18" s="1"/>
  <c r="C33" i="18"/>
  <c r="C42" i="18" s="1"/>
  <c r="Q100" i="18"/>
  <c r="C34" i="4"/>
  <c r="U100" i="17"/>
  <c r="I100" i="17"/>
  <c r="K42" i="17"/>
  <c r="K46" i="17" s="1"/>
  <c r="K47" i="17" s="1"/>
  <c r="AD46" i="17"/>
  <c r="AD47" i="17" s="1"/>
  <c r="B8" i="4"/>
  <c r="AC100" i="17"/>
  <c r="AC33" i="17"/>
  <c r="AC42" i="17" s="1"/>
  <c r="AC46" i="17" s="1"/>
  <c r="AC47" i="17" s="1"/>
  <c r="C88" i="1"/>
  <c r="C96" i="17"/>
  <c r="C97" i="17" s="1"/>
  <c r="C99" i="17" s="1"/>
  <c r="C73" i="17"/>
  <c r="C22" i="17"/>
  <c r="K74" i="17"/>
  <c r="K100" i="17" s="1"/>
  <c r="J46" i="17"/>
  <c r="J47" i="17" s="1"/>
  <c r="C7" i="4"/>
  <c r="H100" i="17"/>
  <c r="C61" i="17"/>
  <c r="C66" i="17" s="1"/>
  <c r="C59" i="1"/>
  <c r="C40" i="17"/>
  <c r="C36" i="1"/>
  <c r="H31" i="17"/>
  <c r="H33" i="17" s="1"/>
  <c r="H42" i="17" s="1"/>
  <c r="H46" i="17" s="1"/>
  <c r="C31" i="17"/>
  <c r="C33" i="17" s="1"/>
  <c r="AF100" i="17"/>
  <c r="AA33" i="14"/>
  <c r="U99" i="14"/>
  <c r="S97" i="14"/>
  <c r="T61" i="14"/>
  <c r="T66" i="14" s="1"/>
  <c r="H47" i="16"/>
  <c r="F33" i="16"/>
  <c r="F42" i="16" s="1"/>
  <c r="F46" i="16" s="1"/>
  <c r="F47" i="16" s="1"/>
  <c r="T73" i="16"/>
  <c r="T74" i="16" s="1"/>
  <c r="T100" i="16" s="1"/>
  <c r="Q22" i="16"/>
  <c r="Q33" i="16" s="1"/>
  <c r="Q42" i="16" s="1"/>
  <c r="Q46" i="16" s="1"/>
  <c r="Q47" i="16" s="1"/>
  <c r="C74" i="16"/>
  <c r="H73" i="16"/>
  <c r="H74" i="16" s="1"/>
  <c r="H100" i="16" s="1"/>
  <c r="AO101" i="16" s="1"/>
  <c r="C95" i="16"/>
  <c r="C96" i="16" s="1"/>
  <c r="C97" i="16" s="1"/>
  <c r="C99" i="16" s="1"/>
  <c r="W100" i="15"/>
  <c r="C12" i="14"/>
  <c r="T84" i="14"/>
  <c r="Q84" i="14"/>
  <c r="W84" i="14"/>
  <c r="N97" i="14"/>
  <c r="P100" i="15"/>
  <c r="P102" i="15" s="1"/>
  <c r="AL22" i="14"/>
  <c r="J46" i="14"/>
  <c r="J47" i="14" s="1"/>
  <c r="T100" i="15"/>
  <c r="X74" i="14"/>
  <c r="AC84" i="14"/>
  <c r="AB99" i="14"/>
  <c r="AO40" i="14"/>
  <c r="AI99" i="14"/>
  <c r="AD99" i="14"/>
  <c r="AG74" i="14"/>
  <c r="AL73" i="14"/>
  <c r="AB100" i="15"/>
  <c r="AB102" i="15" s="1"/>
  <c r="AL100" i="15"/>
  <c r="V33" i="14"/>
  <c r="V42" i="14" s="1"/>
  <c r="AL96" i="14"/>
  <c r="AL97" i="14" s="1"/>
  <c r="AL99" i="14" s="1"/>
  <c r="AO22" i="14"/>
  <c r="AO33" i="14" s="1"/>
  <c r="AO42" i="14" s="1"/>
  <c r="AO46" i="14" s="1"/>
  <c r="AO47" i="14" s="1"/>
  <c r="AI31" i="14"/>
  <c r="AA66" i="14"/>
  <c r="AC73" i="14"/>
  <c r="AH99" i="14"/>
  <c r="AH100" i="14" s="1"/>
  <c r="AI97" i="14"/>
  <c r="AO96" i="14"/>
  <c r="Q33" i="15"/>
  <c r="Q42" i="15" s="1"/>
  <c r="Q46" i="15" s="1"/>
  <c r="Q47" i="15" s="1"/>
  <c r="K100" i="15"/>
  <c r="AB46" i="14"/>
  <c r="AB47" i="14" s="1"/>
  <c r="AO31" i="14"/>
  <c r="AO97" i="14"/>
  <c r="AO99" i="14" s="1"/>
  <c r="AE97" i="14"/>
  <c r="AE99" i="14" s="1"/>
  <c r="AE100" i="14" s="1"/>
  <c r="AE102" i="14" s="1"/>
  <c r="C22" i="15"/>
  <c r="C18" i="14"/>
  <c r="K61" i="14"/>
  <c r="K66" i="14" s="1"/>
  <c r="AD66" i="14"/>
  <c r="AD74" i="14" s="1"/>
  <c r="AD100" i="14" s="1"/>
  <c r="AG97" i="14"/>
  <c r="AG99" i="14" s="1"/>
  <c r="Y46" i="14"/>
  <c r="Y47" i="14" s="1"/>
  <c r="AE42" i="14"/>
  <c r="N61" i="14"/>
  <c r="N66" i="14" s="1"/>
  <c r="L99" i="14"/>
  <c r="L100" i="14" s="1"/>
  <c r="AH97" i="14"/>
  <c r="C95" i="15"/>
  <c r="C96" i="15" s="1"/>
  <c r="N42" i="15"/>
  <c r="W33" i="15"/>
  <c r="W42" i="15" s="1"/>
  <c r="W46" i="15" s="1"/>
  <c r="W47" i="15" s="1"/>
  <c r="P33" i="14"/>
  <c r="P42" i="14" s="1"/>
  <c r="C9" i="14"/>
  <c r="AG42" i="14"/>
  <c r="AG46" i="14" s="1"/>
  <c r="AG47" i="14" s="1"/>
  <c r="AI73" i="14"/>
  <c r="AI74" i="14" s="1"/>
  <c r="AI100" i="14" s="1"/>
  <c r="M99" i="14"/>
  <c r="AJ97" i="14"/>
  <c r="AJ99" i="14" s="1"/>
  <c r="AJ100" i="14" s="1"/>
  <c r="K33" i="15"/>
  <c r="K42" i="15" s="1"/>
  <c r="K46" i="15" s="1"/>
  <c r="K47" i="15" s="1"/>
  <c r="M100" i="14"/>
  <c r="M102" i="14" s="1"/>
  <c r="N22" i="14"/>
  <c r="F66" i="14"/>
  <c r="F74" i="14" s="1"/>
  <c r="AK97" i="14"/>
  <c r="AK99" i="14" s="1"/>
  <c r="C71" i="15"/>
  <c r="C73" i="15" s="1"/>
  <c r="C74" i="15" s="1"/>
  <c r="Z33" i="15"/>
  <c r="Z42" i="15" s="1"/>
  <c r="Z46" i="15" s="1"/>
  <c r="Z47" i="15" s="1"/>
  <c r="AL31" i="14"/>
  <c r="AL33" i="14" s="1"/>
  <c r="AL42" i="14" s="1"/>
  <c r="AL46" i="14" s="1"/>
  <c r="AL47" i="14" s="1"/>
  <c r="C20" i="14"/>
  <c r="C29" i="14"/>
  <c r="K40" i="14"/>
  <c r="G66" i="14"/>
  <c r="G74" i="14" s="1"/>
  <c r="AJ66" i="14"/>
  <c r="AJ74" i="14" s="1"/>
  <c r="AO73" i="14"/>
  <c r="AO74" i="14" s="1"/>
  <c r="AO100" i="14" s="1"/>
  <c r="AM97" i="14"/>
  <c r="AM99" i="14" s="1"/>
  <c r="C66" i="15"/>
  <c r="AI22" i="14"/>
  <c r="AA42" i="14"/>
  <c r="N40" i="14"/>
  <c r="Z61" i="14"/>
  <c r="Z66" i="14" s="1"/>
  <c r="AK66" i="14"/>
  <c r="AK74" i="14" s="1"/>
  <c r="H84" i="14"/>
  <c r="AN97" i="14"/>
  <c r="AN99" i="14" s="1"/>
  <c r="AN100" i="14" s="1"/>
  <c r="C40" i="15"/>
  <c r="AC73" i="15"/>
  <c r="AC74" i="15" s="1"/>
  <c r="AC100" i="15" s="1"/>
  <c r="R47" i="15"/>
  <c r="M100" i="15"/>
  <c r="M102" i="15" s="1"/>
  <c r="F103" i="15" s="1"/>
  <c r="AK33" i="14"/>
  <c r="AK42" i="14" s="1"/>
  <c r="AK46" i="14" s="1"/>
  <c r="AK47" i="14" s="1"/>
  <c r="AC22" i="14"/>
  <c r="AM33" i="14"/>
  <c r="AM42" i="14" s="1"/>
  <c r="AM46" i="14" s="1"/>
  <c r="AM47" i="14" s="1"/>
  <c r="Q40" i="14"/>
  <c r="AM66" i="14"/>
  <c r="AM74" i="14" s="1"/>
  <c r="K84" i="14"/>
  <c r="M97" i="14"/>
  <c r="C92" i="14"/>
  <c r="C30" i="15"/>
  <c r="C31" i="15" s="1"/>
  <c r="AN33" i="14"/>
  <c r="AN42" i="14" s="1"/>
  <c r="AN46" i="14" s="1"/>
  <c r="AN47" i="14" s="1"/>
  <c r="AF61" i="14"/>
  <c r="AF66" i="14" s="1"/>
  <c r="AF74" i="14" s="1"/>
  <c r="N73" i="14"/>
  <c r="S99" i="14"/>
  <c r="Z84" i="14"/>
  <c r="Z31" i="14"/>
  <c r="AD42" i="14"/>
  <c r="AF31" i="14"/>
  <c r="AC31" i="14"/>
  <c r="Z40" i="14"/>
  <c r="X33" i="14"/>
  <c r="X42" i="14" s="1"/>
  <c r="U74" i="14"/>
  <c r="R97" i="14"/>
  <c r="R99" i="14" s="1"/>
  <c r="S74" i="14"/>
  <c r="R74" i="14"/>
  <c r="T31" i="14"/>
  <c r="C17" i="14"/>
  <c r="O66" i="14"/>
  <c r="O74" i="14" s="1"/>
  <c r="K31" i="14"/>
  <c r="C15" i="14"/>
  <c r="F97" i="14"/>
  <c r="F99" i="14" s="1"/>
  <c r="G33" i="14"/>
  <c r="G42" i="14" s="1"/>
  <c r="G46" i="14" s="1"/>
  <c r="C11" i="14"/>
  <c r="AC22" i="15"/>
  <c r="AC33" i="15" s="1"/>
  <c r="AC42" i="15" s="1"/>
  <c r="AC46" i="15" s="1"/>
  <c r="AC47" i="15" s="1"/>
  <c r="H96" i="15"/>
  <c r="H97" i="15" s="1"/>
  <c r="H99" i="15" s="1"/>
  <c r="H100" i="15"/>
  <c r="AO42" i="15"/>
  <c r="AO46" i="15" s="1"/>
  <c r="AO47" i="15" s="1"/>
  <c r="H47" i="15"/>
  <c r="C97" i="15"/>
  <c r="C99" i="15" s="1"/>
  <c r="AI100" i="15"/>
  <c r="AF73" i="14"/>
  <c r="AF22" i="14"/>
  <c r="AA97" i="14"/>
  <c r="AA99" i="14" s="1"/>
  <c r="AC96" i="14"/>
  <c r="AC97" i="14" s="1"/>
  <c r="AC74" i="14"/>
  <c r="AA74" i="14"/>
  <c r="X97" i="14"/>
  <c r="X99" i="14" s="1"/>
  <c r="X100" i="14" s="1"/>
  <c r="Z96" i="14"/>
  <c r="Z73" i="14"/>
  <c r="Z74" i="14" s="1"/>
  <c r="Z22" i="14"/>
  <c r="V74" i="14"/>
  <c r="V100" i="14" s="1"/>
  <c r="V102" i="14" s="1"/>
  <c r="W73" i="14"/>
  <c r="W74" i="14" s="1"/>
  <c r="U33" i="14"/>
  <c r="U42" i="14" s="1"/>
  <c r="T96" i="14"/>
  <c r="T97" i="14" s="1"/>
  <c r="T99" i="14" s="1"/>
  <c r="T73" i="14"/>
  <c r="T74" i="14" s="1"/>
  <c r="T40" i="14"/>
  <c r="S33" i="14"/>
  <c r="S42" i="14" s="1"/>
  <c r="C27" i="14"/>
  <c r="R33" i="14"/>
  <c r="R42" i="14" s="1"/>
  <c r="T22" i="14"/>
  <c r="T33" i="14" s="1"/>
  <c r="C16" i="14"/>
  <c r="P74" i="14"/>
  <c r="P97" i="14"/>
  <c r="P99" i="14" s="1"/>
  <c r="Q96" i="14"/>
  <c r="Q97" i="14" s="1"/>
  <c r="O97" i="14"/>
  <c r="O99" i="14" s="1"/>
  <c r="Q73" i="14"/>
  <c r="Q61" i="14"/>
  <c r="Q66" i="14" s="1"/>
  <c r="C26" i="14"/>
  <c r="Q22" i="14"/>
  <c r="C10" i="14"/>
  <c r="K96" i="14"/>
  <c r="C95" i="14"/>
  <c r="J97" i="14"/>
  <c r="J99" i="14" s="1"/>
  <c r="I97" i="14"/>
  <c r="K97" i="14"/>
  <c r="K99" i="14" s="1"/>
  <c r="C93" i="14"/>
  <c r="I99" i="14"/>
  <c r="C72" i="14"/>
  <c r="I74" i="14"/>
  <c r="C70" i="14"/>
  <c r="I33" i="14"/>
  <c r="I42" i="14" s="1"/>
  <c r="K22" i="14"/>
  <c r="C21" i="14"/>
  <c r="C8" i="14"/>
  <c r="C94" i="14"/>
  <c r="C71" i="14"/>
  <c r="H73" i="14"/>
  <c r="C60" i="14"/>
  <c r="H61" i="14"/>
  <c r="H66" i="14" s="1"/>
  <c r="C38" i="14"/>
  <c r="C37" i="14"/>
  <c r="H40" i="14"/>
  <c r="C28" i="14"/>
  <c r="F33" i="14"/>
  <c r="F42" i="14" s="1"/>
  <c r="C14" i="14"/>
  <c r="H22" i="14"/>
  <c r="R4" i="14"/>
  <c r="U4" i="14"/>
  <c r="AL74" i="14"/>
  <c r="Y100" i="14"/>
  <c r="Y102" i="14" s="1"/>
  <c r="AB100" i="14"/>
  <c r="AB102" i="14" s="1"/>
  <c r="N99" i="14"/>
  <c r="D46" i="14"/>
  <c r="D47" i="14"/>
  <c r="W97" i="14"/>
  <c r="N74" i="14"/>
  <c r="N100" i="14" s="1"/>
  <c r="K73" i="14"/>
  <c r="K74" i="14" s="1"/>
  <c r="Z97" i="14"/>
  <c r="L47" i="14"/>
  <c r="N46" i="14"/>
  <c r="N47" i="14" s="1"/>
  <c r="N33" i="14"/>
  <c r="N42" i="14" s="1"/>
  <c r="U100" i="14"/>
  <c r="AF97" i="14"/>
  <c r="AF99" i="14" s="1"/>
  <c r="O22" i="14"/>
  <c r="O33" i="14" s="1"/>
  <c r="O42" i="14" s="1"/>
  <c r="H30" i="14"/>
  <c r="C83" i="14"/>
  <c r="C39" i="14"/>
  <c r="W40" i="14"/>
  <c r="W31" i="14"/>
  <c r="I4" i="14"/>
  <c r="W13" i="14"/>
  <c r="W22" i="14" s="1"/>
  <c r="C64" i="14"/>
  <c r="C65" i="14" s="1"/>
  <c r="G96" i="14"/>
  <c r="G97" i="14" s="1"/>
  <c r="G99" i="14" s="1"/>
  <c r="C112" i="14"/>
  <c r="C125" i="14" s="1"/>
  <c r="C59" i="14"/>
  <c r="H96" i="14"/>
  <c r="H97" i="14" s="1"/>
  <c r="L4" i="14"/>
  <c r="O4" i="14"/>
  <c r="Q30" i="14"/>
  <c r="Q31" i="14" s="1"/>
  <c r="X4" i="14"/>
  <c r="AA4" i="14"/>
  <c r="J73" i="14"/>
  <c r="J74" i="14" s="1"/>
  <c r="C88" i="14"/>
  <c r="C7" i="14"/>
  <c r="F30" i="10"/>
  <c r="F116" i="10"/>
  <c r="F112" i="10"/>
  <c r="F123" i="10"/>
  <c r="F118" i="10"/>
  <c r="G13" i="10"/>
  <c r="I30" i="10"/>
  <c r="G95" i="10"/>
  <c r="J71" i="10"/>
  <c r="P71" i="10"/>
  <c r="P13" i="10"/>
  <c r="R30" i="10"/>
  <c r="AA13" i="10"/>
  <c r="U13" i="10"/>
  <c r="O30" i="10"/>
  <c r="O13" i="10"/>
  <c r="F16" i="10"/>
  <c r="AA130" i="13"/>
  <c r="X130" i="13"/>
  <c r="U130" i="13"/>
  <c r="R130" i="13"/>
  <c r="O130" i="13"/>
  <c r="L130" i="13"/>
  <c r="I130" i="13"/>
  <c r="C129" i="13"/>
  <c r="F123" i="13"/>
  <c r="C123" i="13" s="1"/>
  <c r="C122" i="13"/>
  <c r="C121" i="13"/>
  <c r="C120" i="13"/>
  <c r="C119" i="13"/>
  <c r="F118" i="13"/>
  <c r="F125" i="13" s="1"/>
  <c r="C117" i="13"/>
  <c r="C116" i="13"/>
  <c r="C115" i="13"/>
  <c r="C114" i="13"/>
  <c r="C113" i="13"/>
  <c r="C112" i="13"/>
  <c r="C111" i="13"/>
  <c r="C110" i="13"/>
  <c r="C109" i="13"/>
  <c r="AA97" i="13"/>
  <c r="Y97" i="13"/>
  <c r="AN96" i="13"/>
  <c r="AM96" i="13"/>
  <c r="AK96" i="13"/>
  <c r="AJ96" i="13"/>
  <c r="AH96" i="13"/>
  <c r="AG96" i="13"/>
  <c r="AE96" i="13"/>
  <c r="AD96" i="13"/>
  <c r="AB96" i="13"/>
  <c r="AA96" i="13"/>
  <c r="Y96" i="13"/>
  <c r="X96" i="13"/>
  <c r="V96" i="13"/>
  <c r="U96" i="13"/>
  <c r="S96" i="13"/>
  <c r="S97" i="13" s="1"/>
  <c r="R96" i="13"/>
  <c r="P96" i="13"/>
  <c r="O96" i="13"/>
  <c r="M96" i="13"/>
  <c r="L96" i="13"/>
  <c r="J96" i="13"/>
  <c r="I96" i="13"/>
  <c r="G96" i="13"/>
  <c r="F96" i="13"/>
  <c r="AO95" i="13"/>
  <c r="AL95" i="13"/>
  <c r="AI95" i="13"/>
  <c r="AF95" i="13"/>
  <c r="AC95" i="13"/>
  <c r="Z95" i="13"/>
  <c r="W95" i="13"/>
  <c r="T95" i="13"/>
  <c r="Q95" i="13"/>
  <c r="N95" i="13"/>
  <c r="K95" i="13"/>
  <c r="H95" i="13"/>
  <c r="AO94" i="13"/>
  <c r="AL94" i="13"/>
  <c r="AI94" i="13"/>
  <c r="AF94" i="13"/>
  <c r="AC94" i="13"/>
  <c r="Z94" i="13"/>
  <c r="W94" i="13"/>
  <c r="T94" i="13"/>
  <c r="Q94" i="13"/>
  <c r="N94" i="13"/>
  <c r="N96" i="13" s="1"/>
  <c r="K94" i="13"/>
  <c r="H94" i="13"/>
  <c r="AO93" i="13"/>
  <c r="AL93" i="13"/>
  <c r="AI93" i="13"/>
  <c r="AF93" i="13"/>
  <c r="AC93" i="13"/>
  <c r="Z93" i="13"/>
  <c r="W93" i="13"/>
  <c r="T93" i="13"/>
  <c r="Q93" i="13"/>
  <c r="N93" i="13"/>
  <c r="K93" i="13"/>
  <c r="H93" i="13"/>
  <c r="C93" i="13"/>
  <c r="AO92" i="13"/>
  <c r="AL92" i="13"/>
  <c r="AI92" i="13"/>
  <c r="AF92" i="13"/>
  <c r="AC92" i="13"/>
  <c r="Z92" i="13"/>
  <c r="W92" i="13"/>
  <c r="T92" i="13"/>
  <c r="Q92" i="13"/>
  <c r="N92" i="13"/>
  <c r="K92" i="13"/>
  <c r="H92" i="13"/>
  <c r="AN89" i="13"/>
  <c r="AM89" i="13"/>
  <c r="AK89" i="13"/>
  <c r="AK97" i="13" s="1"/>
  <c r="AJ89" i="13"/>
  <c r="AJ97" i="13" s="1"/>
  <c r="AH89" i="13"/>
  <c r="AH97" i="13" s="1"/>
  <c r="AG89" i="13"/>
  <c r="AE89" i="13"/>
  <c r="AD89" i="13"/>
  <c r="AB89" i="13"/>
  <c r="AA89" i="13"/>
  <c r="Y89" i="13"/>
  <c r="X89" i="13"/>
  <c r="V89" i="13"/>
  <c r="U89" i="13"/>
  <c r="S89" i="13"/>
  <c r="R89" i="13"/>
  <c r="P89" i="13"/>
  <c r="O89" i="13"/>
  <c r="M89" i="13"/>
  <c r="L89" i="13"/>
  <c r="J89" i="13"/>
  <c r="I89" i="13"/>
  <c r="I97" i="13" s="1"/>
  <c r="G89" i="13"/>
  <c r="F89" i="13"/>
  <c r="AO88" i="13"/>
  <c r="AO89" i="13" s="1"/>
  <c r="AL88" i="13"/>
  <c r="AL89" i="13" s="1"/>
  <c r="AI88" i="13"/>
  <c r="AI89" i="13" s="1"/>
  <c r="AF88" i="13"/>
  <c r="AF89" i="13" s="1"/>
  <c r="AC88" i="13"/>
  <c r="AC89" i="13" s="1"/>
  <c r="Z88" i="13"/>
  <c r="Z89" i="13" s="1"/>
  <c r="W88" i="13"/>
  <c r="W89" i="13" s="1"/>
  <c r="T88" i="13"/>
  <c r="T89" i="13" s="1"/>
  <c r="Q88" i="13"/>
  <c r="Q89" i="13" s="1"/>
  <c r="N88" i="13"/>
  <c r="N89" i="13" s="1"/>
  <c r="K88" i="13"/>
  <c r="K89" i="13" s="1"/>
  <c r="H88" i="13"/>
  <c r="H89" i="13" s="1"/>
  <c r="AO87" i="13"/>
  <c r="AL87" i="13"/>
  <c r="AI87" i="13"/>
  <c r="AF87" i="13"/>
  <c r="AC87" i="13"/>
  <c r="Z87" i="13"/>
  <c r="W87" i="13"/>
  <c r="T87" i="13"/>
  <c r="Q87" i="13"/>
  <c r="N87" i="13"/>
  <c r="K87" i="13"/>
  <c r="H87" i="13"/>
  <c r="AO86" i="13"/>
  <c r="AL86" i="13"/>
  <c r="AI86" i="13"/>
  <c r="AF86" i="13"/>
  <c r="AC86" i="13"/>
  <c r="Z86" i="13"/>
  <c r="W86" i="13"/>
  <c r="T86" i="13"/>
  <c r="Q86" i="13"/>
  <c r="N86" i="13"/>
  <c r="K86" i="13"/>
  <c r="H86" i="13"/>
  <c r="AN84" i="13"/>
  <c r="AM84" i="13"/>
  <c r="AK84" i="13"/>
  <c r="AK99" i="13" s="1"/>
  <c r="AJ84" i="13"/>
  <c r="AI84" i="13"/>
  <c r="AH84" i="13"/>
  <c r="AG84" i="13"/>
  <c r="AE84" i="13"/>
  <c r="AD84" i="13"/>
  <c r="AB84" i="13"/>
  <c r="AA84" i="13"/>
  <c r="Y84" i="13"/>
  <c r="X84" i="13"/>
  <c r="V84" i="13"/>
  <c r="U84" i="13"/>
  <c r="S84" i="13"/>
  <c r="R84" i="13"/>
  <c r="P84" i="13"/>
  <c r="O84" i="13"/>
  <c r="M84" i="13"/>
  <c r="L84" i="13"/>
  <c r="J84" i="13"/>
  <c r="I84" i="13"/>
  <c r="G84" i="13"/>
  <c r="F84" i="13"/>
  <c r="AO83" i="13"/>
  <c r="AO84" i="13" s="1"/>
  <c r="AL83" i="13"/>
  <c r="AL84" i="13" s="1"/>
  <c r="AI83" i="13"/>
  <c r="AF83" i="13"/>
  <c r="AF84" i="13" s="1"/>
  <c r="AC83" i="13"/>
  <c r="AC84" i="13" s="1"/>
  <c r="Z83" i="13"/>
  <c r="Z84" i="13" s="1"/>
  <c r="W83" i="13"/>
  <c r="T83" i="13"/>
  <c r="T84" i="13" s="1"/>
  <c r="Q83" i="13"/>
  <c r="N83" i="13"/>
  <c r="N84" i="13" s="1"/>
  <c r="K83" i="13"/>
  <c r="K84" i="13" s="1"/>
  <c r="H83" i="13"/>
  <c r="H84" i="13" s="1"/>
  <c r="C81" i="13"/>
  <c r="AN73" i="13"/>
  <c r="AM73" i="13"/>
  <c r="AK73" i="13"/>
  <c r="AJ73" i="13"/>
  <c r="AH73" i="13"/>
  <c r="AG73" i="13"/>
  <c r="AE73" i="13"/>
  <c r="AD73" i="13"/>
  <c r="AB73" i="13"/>
  <c r="AA73" i="13"/>
  <c r="Y73" i="13"/>
  <c r="X73" i="13"/>
  <c r="V73" i="13"/>
  <c r="U73" i="13"/>
  <c r="S73" i="13"/>
  <c r="R73" i="13"/>
  <c r="P73" i="13"/>
  <c r="O73" i="13"/>
  <c r="M73" i="13"/>
  <c r="L73" i="13"/>
  <c r="J73" i="13"/>
  <c r="I73" i="13"/>
  <c r="G73" i="13"/>
  <c r="F73" i="13"/>
  <c r="AO72" i="13"/>
  <c r="AL72" i="13"/>
  <c r="AI72" i="13"/>
  <c r="AF72" i="13"/>
  <c r="AC72" i="13"/>
  <c r="Z72" i="13"/>
  <c r="W72" i="13"/>
  <c r="T72" i="13"/>
  <c r="Q72" i="13"/>
  <c r="N72" i="13"/>
  <c r="K72" i="13"/>
  <c r="H72" i="13"/>
  <c r="AO71" i="13"/>
  <c r="AL71" i="13"/>
  <c r="AI71" i="13"/>
  <c r="AF71" i="13"/>
  <c r="AC71" i="13"/>
  <c r="Z71" i="13"/>
  <c r="W71" i="13"/>
  <c r="T71" i="13"/>
  <c r="Q71" i="13"/>
  <c r="N71" i="13"/>
  <c r="K71" i="13"/>
  <c r="H71" i="13"/>
  <c r="AO70" i="13"/>
  <c r="AL70" i="13"/>
  <c r="AI70" i="13"/>
  <c r="AF70" i="13"/>
  <c r="AC70" i="13"/>
  <c r="Z70" i="13"/>
  <c r="W70" i="13"/>
  <c r="T70" i="13"/>
  <c r="Q70" i="13"/>
  <c r="N70" i="13"/>
  <c r="K70" i="13"/>
  <c r="H70" i="13"/>
  <c r="AO69" i="13"/>
  <c r="AL69" i="13"/>
  <c r="AI69" i="13"/>
  <c r="AF69" i="13"/>
  <c r="AC69" i="13"/>
  <c r="Z69" i="13"/>
  <c r="W69" i="13"/>
  <c r="T69" i="13"/>
  <c r="C69" i="13" s="1"/>
  <c r="Q69" i="13"/>
  <c r="N69" i="13"/>
  <c r="K69" i="13"/>
  <c r="H69" i="13"/>
  <c r="R66" i="13"/>
  <c r="R74" i="13" s="1"/>
  <c r="AO65" i="13"/>
  <c r="AN65" i="13"/>
  <c r="AM65" i="13"/>
  <c r="AL65" i="13"/>
  <c r="AK65" i="13"/>
  <c r="AJ65" i="13"/>
  <c r="AI65" i="13"/>
  <c r="AH65" i="13"/>
  <c r="AG65" i="13"/>
  <c r="AF65" i="13"/>
  <c r="AE65" i="13"/>
  <c r="AD65" i="13"/>
  <c r="AC65" i="13"/>
  <c r="AB65" i="13"/>
  <c r="AA65" i="13"/>
  <c r="Z65" i="13"/>
  <c r="Y65" i="13"/>
  <c r="X65" i="13"/>
  <c r="W65" i="13"/>
  <c r="V65" i="13"/>
  <c r="U65" i="13"/>
  <c r="T65" i="13"/>
  <c r="S65" i="13"/>
  <c r="R65" i="13"/>
  <c r="Q65" i="13"/>
  <c r="P65" i="13"/>
  <c r="O65" i="13"/>
  <c r="N65" i="13"/>
  <c r="M65" i="13"/>
  <c r="L65" i="13"/>
  <c r="K65" i="13"/>
  <c r="J65" i="13"/>
  <c r="I65" i="13"/>
  <c r="G65" i="13"/>
  <c r="F65" i="13"/>
  <c r="H64" i="13"/>
  <c r="C64" i="13" s="1"/>
  <c r="C65" i="13" s="1"/>
  <c r="AN61" i="13"/>
  <c r="AM61" i="13"/>
  <c r="AM66" i="13" s="1"/>
  <c r="AM74" i="13" s="1"/>
  <c r="AK61" i="13"/>
  <c r="AJ61" i="13"/>
  <c r="AJ66" i="13" s="1"/>
  <c r="AJ74" i="13" s="1"/>
  <c r="AH61" i="13"/>
  <c r="AH66" i="13" s="1"/>
  <c r="AH74" i="13" s="1"/>
  <c r="AG61" i="13"/>
  <c r="AE61" i="13"/>
  <c r="AD61" i="13"/>
  <c r="AB61" i="13"/>
  <c r="AA61" i="13"/>
  <c r="AA66" i="13" s="1"/>
  <c r="AA74" i="13" s="1"/>
  <c r="Y61" i="13"/>
  <c r="Y66" i="13" s="1"/>
  <c r="X61" i="13"/>
  <c r="V61" i="13"/>
  <c r="U61" i="13"/>
  <c r="S61" i="13"/>
  <c r="R61" i="13"/>
  <c r="P61" i="13"/>
  <c r="O61" i="13"/>
  <c r="M61" i="13"/>
  <c r="L61" i="13"/>
  <c r="J61" i="13"/>
  <c r="I61" i="13"/>
  <c r="G61" i="13"/>
  <c r="G66" i="13" s="1"/>
  <c r="F61" i="13"/>
  <c r="F66" i="13" s="1"/>
  <c r="F74" i="13" s="1"/>
  <c r="AO60" i="13"/>
  <c r="AL60" i="13"/>
  <c r="AI60" i="13"/>
  <c r="AF60" i="13"/>
  <c r="AC60" i="13"/>
  <c r="Z60" i="13"/>
  <c r="W60" i="13"/>
  <c r="T60" i="13"/>
  <c r="Q60" i="13"/>
  <c r="N60" i="13"/>
  <c r="K60" i="13"/>
  <c r="H60" i="13"/>
  <c r="AO59" i="13"/>
  <c r="AL59" i="13"/>
  <c r="AI59" i="13"/>
  <c r="AF59" i="13"/>
  <c r="AC59" i="13"/>
  <c r="Z59" i="13"/>
  <c r="Z61" i="13" s="1"/>
  <c r="Z66" i="13" s="1"/>
  <c r="W59" i="13"/>
  <c r="T59" i="13"/>
  <c r="Q59" i="13"/>
  <c r="N59" i="13"/>
  <c r="K59" i="13"/>
  <c r="H59" i="13"/>
  <c r="C53" i="13"/>
  <c r="A50" i="13"/>
  <c r="AO41" i="13"/>
  <c r="AL41" i="13"/>
  <c r="AI41" i="13"/>
  <c r="AF41" i="13"/>
  <c r="AC41" i="13"/>
  <c r="Z41" i="13"/>
  <c r="W41" i="13"/>
  <c r="T41" i="13"/>
  <c r="Q41" i="13"/>
  <c r="N41" i="13"/>
  <c r="K41" i="13"/>
  <c r="H41" i="13"/>
  <c r="AN40" i="13"/>
  <c r="AM40" i="13"/>
  <c r="AK40" i="13"/>
  <c r="AJ40" i="13"/>
  <c r="AH40" i="13"/>
  <c r="AG40" i="13"/>
  <c r="AE40" i="13"/>
  <c r="AD40" i="13"/>
  <c r="AB40" i="13"/>
  <c r="AA40" i="13"/>
  <c r="Y40" i="13"/>
  <c r="X40" i="13"/>
  <c r="V40" i="13"/>
  <c r="U40" i="13"/>
  <c r="S40" i="13"/>
  <c r="R40" i="13"/>
  <c r="P40" i="13"/>
  <c r="O40" i="13"/>
  <c r="M40" i="13"/>
  <c r="L40" i="13"/>
  <c r="J40" i="13"/>
  <c r="I40" i="13"/>
  <c r="G40" i="13"/>
  <c r="F40" i="13"/>
  <c r="D40" i="13"/>
  <c r="AO39" i="13"/>
  <c r="AL39" i="13"/>
  <c r="AI39" i="13"/>
  <c r="AF39" i="13"/>
  <c r="AC39" i="13"/>
  <c r="Z39" i="13"/>
  <c r="W39" i="13"/>
  <c r="T39" i="13"/>
  <c r="Q39" i="13"/>
  <c r="N39" i="13"/>
  <c r="K39" i="13"/>
  <c r="H39" i="13"/>
  <c r="AO38" i="13"/>
  <c r="AL38" i="13"/>
  <c r="AI38" i="13"/>
  <c r="AF38" i="13"/>
  <c r="AC38" i="13"/>
  <c r="Z38" i="13"/>
  <c r="W38" i="13"/>
  <c r="T38" i="13"/>
  <c r="Q38" i="13"/>
  <c r="N38" i="13"/>
  <c r="K38" i="13"/>
  <c r="H38" i="13"/>
  <c r="AO37" i="13"/>
  <c r="AL37" i="13"/>
  <c r="AI37" i="13"/>
  <c r="AF37" i="13"/>
  <c r="AC37" i="13"/>
  <c r="Z37" i="13"/>
  <c r="W37" i="13"/>
  <c r="T37" i="13"/>
  <c r="Q37" i="13"/>
  <c r="N37" i="13"/>
  <c r="K37" i="13"/>
  <c r="K40" i="13" s="1"/>
  <c r="H37" i="13"/>
  <c r="AO32" i="13"/>
  <c r="AL32" i="13"/>
  <c r="AI32" i="13"/>
  <c r="AF32" i="13"/>
  <c r="AC32" i="13"/>
  <c r="Z32" i="13"/>
  <c r="W32" i="13"/>
  <c r="T32" i="13"/>
  <c r="Q32" i="13"/>
  <c r="N32" i="13"/>
  <c r="K32" i="13"/>
  <c r="H32" i="13"/>
  <c r="AN31" i="13"/>
  <c r="AM31" i="13"/>
  <c r="AK31" i="13"/>
  <c r="AJ31" i="13"/>
  <c r="AH31" i="13"/>
  <c r="AG31" i="13"/>
  <c r="AE31" i="13"/>
  <c r="AD31" i="13"/>
  <c r="AB31" i="13"/>
  <c r="AA31" i="13"/>
  <c r="Y31" i="13"/>
  <c r="X31" i="13"/>
  <c r="V31" i="13"/>
  <c r="U31" i="13"/>
  <c r="S31" i="13"/>
  <c r="P31" i="13"/>
  <c r="M31" i="13"/>
  <c r="L31" i="13"/>
  <c r="J31" i="13"/>
  <c r="I31" i="13"/>
  <c r="G31" i="13"/>
  <c r="D31" i="13"/>
  <c r="AO30" i="13"/>
  <c r="AL30" i="13"/>
  <c r="AI30" i="13"/>
  <c r="AF30" i="13"/>
  <c r="AC30" i="13"/>
  <c r="Z30" i="13"/>
  <c r="W30" i="13"/>
  <c r="R30" i="13"/>
  <c r="R31" i="13" s="1"/>
  <c r="O30" i="13"/>
  <c r="Q30" i="13" s="1"/>
  <c r="N30" i="13"/>
  <c r="K30" i="13"/>
  <c r="F30" i="13"/>
  <c r="F31" i="13" s="1"/>
  <c r="AO29" i="13"/>
  <c r="AL29" i="13"/>
  <c r="AI29" i="13"/>
  <c r="AF29" i="13"/>
  <c r="AC29" i="13"/>
  <c r="Z29" i="13"/>
  <c r="W29" i="13"/>
  <c r="T29" i="13"/>
  <c r="Q29" i="13"/>
  <c r="N29" i="13"/>
  <c r="K29" i="13"/>
  <c r="H29" i="13"/>
  <c r="AO28" i="13"/>
  <c r="AL28" i="13"/>
  <c r="AI28" i="13"/>
  <c r="AF28" i="13"/>
  <c r="AC28" i="13"/>
  <c r="Z28" i="13"/>
  <c r="W28" i="13"/>
  <c r="T28" i="13"/>
  <c r="Q28" i="13"/>
  <c r="N28" i="13"/>
  <c r="K28" i="13"/>
  <c r="H28" i="13"/>
  <c r="AO27" i="13"/>
  <c r="AL27" i="13"/>
  <c r="AI27" i="13"/>
  <c r="AF27" i="13"/>
  <c r="AC27" i="13"/>
  <c r="Z27" i="13"/>
  <c r="W27" i="13"/>
  <c r="T27" i="13"/>
  <c r="Q27" i="13"/>
  <c r="N27" i="13"/>
  <c r="K27" i="13"/>
  <c r="H27" i="13"/>
  <c r="AO26" i="13"/>
  <c r="AL26" i="13"/>
  <c r="AI26" i="13"/>
  <c r="AF26" i="13"/>
  <c r="AC26" i="13"/>
  <c r="Z26" i="13"/>
  <c r="W26" i="13"/>
  <c r="T26" i="13"/>
  <c r="Q26" i="13"/>
  <c r="N26" i="13"/>
  <c r="N31" i="13" s="1"/>
  <c r="K26" i="13"/>
  <c r="H26" i="13"/>
  <c r="AN22" i="13"/>
  <c r="AM22" i="13"/>
  <c r="AK22" i="13"/>
  <c r="AK33" i="13" s="1"/>
  <c r="AJ22" i="13"/>
  <c r="AJ33" i="13" s="1"/>
  <c r="AH22" i="13"/>
  <c r="AH33" i="13" s="1"/>
  <c r="AH42" i="13" s="1"/>
  <c r="AH46" i="13" s="1"/>
  <c r="AH47" i="13" s="1"/>
  <c r="AG22" i="13"/>
  <c r="AG33" i="13" s="1"/>
  <c r="AE22" i="13"/>
  <c r="AE33" i="13" s="1"/>
  <c r="AD22" i="13"/>
  <c r="AD33" i="13" s="1"/>
  <c r="AB22" i="13"/>
  <c r="Y22" i="13"/>
  <c r="Y33" i="13" s="1"/>
  <c r="X22" i="13"/>
  <c r="V22" i="13"/>
  <c r="V33" i="13" s="1"/>
  <c r="S22" i="13"/>
  <c r="S33" i="13" s="1"/>
  <c r="R22" i="13"/>
  <c r="M22" i="13"/>
  <c r="M33" i="13" s="1"/>
  <c r="M42" i="13" s="1"/>
  <c r="M46" i="13" s="1"/>
  <c r="M47" i="13" s="1"/>
  <c r="L22" i="13"/>
  <c r="J22" i="13"/>
  <c r="J33" i="13" s="1"/>
  <c r="J42" i="13" s="1"/>
  <c r="J46" i="13" s="1"/>
  <c r="J47" i="13" s="1"/>
  <c r="I22" i="13"/>
  <c r="I33" i="13" s="1"/>
  <c r="G22" i="13"/>
  <c r="G33" i="13" s="1"/>
  <c r="D22" i="13"/>
  <c r="AO21" i="13"/>
  <c r="AL21" i="13"/>
  <c r="AI21" i="13"/>
  <c r="AF21" i="13"/>
  <c r="AC21" i="13"/>
  <c r="Z21" i="13"/>
  <c r="W21" i="13"/>
  <c r="T21" i="13"/>
  <c r="Q21" i="13"/>
  <c r="N21" i="13"/>
  <c r="K21" i="13"/>
  <c r="H21" i="13"/>
  <c r="AO20" i="13"/>
  <c r="AL20" i="13"/>
  <c r="AI20" i="13"/>
  <c r="AF20" i="13"/>
  <c r="AC20" i="13"/>
  <c r="Z20" i="13"/>
  <c r="W20" i="13"/>
  <c r="T20" i="13"/>
  <c r="Q20" i="13"/>
  <c r="N20" i="13"/>
  <c r="K20" i="13"/>
  <c r="H20" i="13"/>
  <c r="AO19" i="13"/>
  <c r="AL19" i="13"/>
  <c r="AI19" i="13"/>
  <c r="AF19" i="13"/>
  <c r="AC19" i="13"/>
  <c r="Z19" i="13"/>
  <c r="W19" i="13"/>
  <c r="T19" i="13"/>
  <c r="Q19" i="13"/>
  <c r="N19" i="13"/>
  <c r="K19" i="13"/>
  <c r="H19" i="13"/>
  <c r="AO18" i="13"/>
  <c r="AL18" i="13"/>
  <c r="AI18" i="13"/>
  <c r="AF18" i="13"/>
  <c r="AC18" i="13"/>
  <c r="Z18" i="13"/>
  <c r="W18" i="13"/>
  <c r="T18" i="13"/>
  <c r="Q18" i="13"/>
  <c r="N18" i="13"/>
  <c r="K18" i="13"/>
  <c r="H18" i="13"/>
  <c r="AO17" i="13"/>
  <c r="AL17" i="13"/>
  <c r="AI17" i="13"/>
  <c r="AF17" i="13"/>
  <c r="AC17" i="13"/>
  <c r="Z17" i="13"/>
  <c r="W17" i="13"/>
  <c r="T17" i="13"/>
  <c r="Q17" i="13"/>
  <c r="N17" i="13"/>
  <c r="K17" i="13"/>
  <c r="H17" i="13"/>
  <c r="AO16" i="13"/>
  <c r="AL16" i="13"/>
  <c r="AI16" i="13"/>
  <c r="AF16" i="13"/>
  <c r="AC16" i="13"/>
  <c r="Z16" i="13"/>
  <c r="W16" i="13"/>
  <c r="T16" i="13"/>
  <c r="Q16" i="13"/>
  <c r="N16" i="13"/>
  <c r="K16" i="13"/>
  <c r="F16" i="13"/>
  <c r="H16" i="13" s="1"/>
  <c r="AO15" i="13"/>
  <c r="AL15" i="13"/>
  <c r="AI15" i="13"/>
  <c r="AF15" i="13"/>
  <c r="AC15" i="13"/>
  <c r="Z15" i="13"/>
  <c r="W15" i="13"/>
  <c r="T15" i="13"/>
  <c r="Q15" i="13"/>
  <c r="N15" i="13"/>
  <c r="K15" i="13"/>
  <c r="H15" i="13"/>
  <c r="AO14" i="13"/>
  <c r="AL14" i="13"/>
  <c r="AI14" i="13"/>
  <c r="AF14" i="13"/>
  <c r="AC14" i="13"/>
  <c r="Z14" i="13"/>
  <c r="W14" i="13"/>
  <c r="T14" i="13"/>
  <c r="Q14" i="13"/>
  <c r="N14" i="13"/>
  <c r="K14" i="13"/>
  <c r="H14" i="13"/>
  <c r="AO13" i="13"/>
  <c r="AL13" i="13"/>
  <c r="AI13" i="13"/>
  <c r="AF13" i="13"/>
  <c r="AA13" i="13"/>
  <c r="AA22" i="13" s="1"/>
  <c r="AA33" i="13" s="1"/>
  <c r="Z13" i="13"/>
  <c r="U13" i="13"/>
  <c r="U22" i="13" s="1"/>
  <c r="U33" i="13" s="1"/>
  <c r="T13" i="13"/>
  <c r="P13" i="13"/>
  <c r="P22" i="13" s="1"/>
  <c r="P33" i="13" s="1"/>
  <c r="P42" i="13" s="1"/>
  <c r="P46" i="13" s="1"/>
  <c r="P47" i="13" s="1"/>
  <c r="O13" i="13"/>
  <c r="N13" i="13"/>
  <c r="K13" i="13"/>
  <c r="H13" i="13"/>
  <c r="AC12" i="13"/>
  <c r="Z12" i="13"/>
  <c r="W12" i="13"/>
  <c r="T12" i="13"/>
  <c r="Q12" i="13"/>
  <c r="N12" i="13"/>
  <c r="K12" i="13"/>
  <c r="H12" i="13"/>
  <c r="C12" i="13" s="1"/>
  <c r="AO11" i="13"/>
  <c r="AL11" i="13"/>
  <c r="AI11" i="13"/>
  <c r="AF11" i="13"/>
  <c r="AC11" i="13"/>
  <c r="Z11" i="13"/>
  <c r="W11" i="13"/>
  <c r="T11" i="13"/>
  <c r="Q11" i="13"/>
  <c r="N11" i="13"/>
  <c r="K11" i="13"/>
  <c r="H11" i="13"/>
  <c r="AC10" i="13"/>
  <c r="Z10" i="13"/>
  <c r="W10" i="13"/>
  <c r="T10" i="13"/>
  <c r="Q10" i="13"/>
  <c r="N10" i="13"/>
  <c r="K10" i="13"/>
  <c r="H10" i="13"/>
  <c r="C10" i="13" s="1"/>
  <c r="AC9" i="13"/>
  <c r="Z9" i="13"/>
  <c r="W9" i="13"/>
  <c r="T9" i="13"/>
  <c r="Q9" i="13"/>
  <c r="N9" i="13"/>
  <c r="K9" i="13"/>
  <c r="H9" i="13"/>
  <c r="AC8" i="13"/>
  <c r="Z8" i="13"/>
  <c r="W8" i="13"/>
  <c r="T8" i="13"/>
  <c r="Q8" i="13"/>
  <c r="N8" i="13"/>
  <c r="K8" i="13"/>
  <c r="H8" i="13"/>
  <c r="AO7" i="13"/>
  <c r="AL7" i="13"/>
  <c r="AI7" i="13"/>
  <c r="AF7" i="13"/>
  <c r="AC7" i="13"/>
  <c r="Z7" i="13"/>
  <c r="W7" i="13"/>
  <c r="T7" i="13"/>
  <c r="Q7" i="13"/>
  <c r="N7" i="13"/>
  <c r="K7" i="13"/>
  <c r="H7" i="13"/>
  <c r="F4" i="13"/>
  <c r="L4" i="13" s="1"/>
  <c r="C74" i="17" l="1"/>
  <c r="H47" i="18"/>
  <c r="C46" i="18"/>
  <c r="C47" i="18" s="1"/>
  <c r="C42" i="17"/>
  <c r="AO101" i="17"/>
  <c r="C100" i="17"/>
  <c r="H47" i="17"/>
  <c r="C46" i="17"/>
  <c r="C47" i="17" s="1"/>
  <c r="AC33" i="14"/>
  <c r="AC42" i="14" s="1"/>
  <c r="AC46" i="14" s="1"/>
  <c r="AC47" i="14" s="1"/>
  <c r="AA100" i="14"/>
  <c r="Z99" i="14"/>
  <c r="Z33" i="14"/>
  <c r="Z42" i="14" s="1"/>
  <c r="Z46" i="14" s="1"/>
  <c r="Z47" i="14" s="1"/>
  <c r="W99" i="14"/>
  <c r="S100" i="14"/>
  <c r="S102" i="14" s="1"/>
  <c r="R100" i="14"/>
  <c r="Q99" i="14"/>
  <c r="K33" i="14"/>
  <c r="K42" i="14" s="1"/>
  <c r="K46" i="14" s="1"/>
  <c r="K47" i="14" s="1"/>
  <c r="H99" i="14"/>
  <c r="G100" i="14"/>
  <c r="G102" i="14" s="1"/>
  <c r="C100" i="16"/>
  <c r="C46" i="16"/>
  <c r="C47" i="16" s="1"/>
  <c r="K31" i="13"/>
  <c r="AG97" i="13"/>
  <c r="AF96" i="13"/>
  <c r="AD46" i="14"/>
  <c r="AD47" i="14" s="1"/>
  <c r="Q31" i="13"/>
  <c r="O46" i="14"/>
  <c r="O47" i="14" s="1"/>
  <c r="F100" i="14"/>
  <c r="G47" i="14"/>
  <c r="AF40" i="13"/>
  <c r="M99" i="13"/>
  <c r="C8" i="13"/>
  <c r="O99" i="13"/>
  <c r="AK100" i="14"/>
  <c r="C33" i="15"/>
  <c r="C42" i="15" s="1"/>
  <c r="V46" i="14"/>
  <c r="V47" i="14" s="1"/>
  <c r="C16" i="13"/>
  <c r="M97" i="13"/>
  <c r="H96" i="13"/>
  <c r="AC99" i="14"/>
  <c r="AC100" i="14" s="1"/>
  <c r="D33" i="13"/>
  <c r="C21" i="13"/>
  <c r="X33" i="13"/>
  <c r="AD66" i="13"/>
  <c r="AD74" i="13" s="1"/>
  <c r="O97" i="13"/>
  <c r="Q33" i="14"/>
  <c r="Q42" i="14" s="1"/>
  <c r="Q46" i="14" s="1"/>
  <c r="Q47" i="14" s="1"/>
  <c r="I46" i="14"/>
  <c r="I47" i="14" s="1"/>
  <c r="S42" i="13"/>
  <c r="S46" i="13" s="1"/>
  <c r="S47" i="13" s="1"/>
  <c r="AE66" i="13"/>
  <c r="AE74" i="13" s="1"/>
  <c r="C70" i="13"/>
  <c r="C73" i="13" s="1"/>
  <c r="C95" i="13"/>
  <c r="AF33" i="14"/>
  <c r="AF42" i="14" s="1"/>
  <c r="AF46" i="14" s="1"/>
  <c r="AF47" i="14" s="1"/>
  <c r="AA46" i="14"/>
  <c r="AA47" i="14" s="1"/>
  <c r="AB33" i="13"/>
  <c r="AB42" i="13" s="1"/>
  <c r="AB46" i="13" s="1"/>
  <c r="AB47" i="13" s="1"/>
  <c r="AG66" i="13"/>
  <c r="AG74" i="13" s="1"/>
  <c r="I100" i="14"/>
  <c r="T42" i="14"/>
  <c r="AI33" i="14"/>
  <c r="AI42" i="14" s="1"/>
  <c r="AI46" i="14" s="1"/>
  <c r="AI47" i="14" s="1"/>
  <c r="AO22" i="13"/>
  <c r="R46" i="14"/>
  <c r="R47" i="14" s="1"/>
  <c r="N97" i="13"/>
  <c r="F47" i="14"/>
  <c r="AO101" i="15"/>
  <c r="P46" i="14"/>
  <c r="P47" i="14" s="1"/>
  <c r="AG100" i="14"/>
  <c r="Q13" i="13"/>
  <c r="W61" i="13"/>
  <c r="W66" i="13" s="1"/>
  <c r="G74" i="13"/>
  <c r="AK66" i="13"/>
  <c r="AK74" i="13" s="1"/>
  <c r="S46" i="14"/>
  <c r="S47" i="14" s="1"/>
  <c r="AM100" i="14"/>
  <c r="AE46" i="14"/>
  <c r="AE47" i="14" s="1"/>
  <c r="C29" i="13"/>
  <c r="N40" i="13"/>
  <c r="AC61" i="13"/>
  <c r="AC66" i="13" s="1"/>
  <c r="J66" i="13"/>
  <c r="J74" i="13" s="1"/>
  <c r="AN66" i="13"/>
  <c r="AN74" i="13" s="1"/>
  <c r="H73" i="13"/>
  <c r="I66" i="13"/>
  <c r="I74" i="13" s="1"/>
  <c r="Q40" i="13"/>
  <c r="AF61" i="13"/>
  <c r="AF66" i="13" s="1"/>
  <c r="AI96" i="13"/>
  <c r="AI97" i="13" s="1"/>
  <c r="AI99" i="13" s="1"/>
  <c r="C46" i="15"/>
  <c r="C47" i="15" s="1"/>
  <c r="U42" i="13"/>
  <c r="U46" i="13" s="1"/>
  <c r="U47" i="13" s="1"/>
  <c r="Q73" i="13"/>
  <c r="AO73" i="13"/>
  <c r="AO96" i="13"/>
  <c r="AO97" i="13" s="1"/>
  <c r="AO99" i="13" s="1"/>
  <c r="U46" i="14"/>
  <c r="U47" i="14" s="1"/>
  <c r="Z100" i="14"/>
  <c r="X46" i="14"/>
  <c r="X47" i="14" s="1"/>
  <c r="AF100" i="14"/>
  <c r="W100" i="14"/>
  <c r="C13" i="14"/>
  <c r="P100" i="14"/>
  <c r="P102" i="14" s="1"/>
  <c r="Q74" i="14"/>
  <c r="Q100" i="14" s="1"/>
  <c r="C30" i="14"/>
  <c r="C100" i="15"/>
  <c r="H74" i="14"/>
  <c r="H100" i="14" s="1"/>
  <c r="T100" i="14"/>
  <c r="O100" i="14"/>
  <c r="C96" i="14"/>
  <c r="C73" i="14"/>
  <c r="J100" i="14"/>
  <c r="J102" i="14" s="1"/>
  <c r="K100" i="14"/>
  <c r="C40" i="14"/>
  <c r="C89" i="14"/>
  <c r="C84" i="14"/>
  <c r="C61" i="14"/>
  <c r="C66" i="14" s="1"/>
  <c r="W33" i="14"/>
  <c r="W42" i="14" s="1"/>
  <c r="W46" i="14" s="1"/>
  <c r="W47" i="14" s="1"/>
  <c r="AL100" i="14"/>
  <c r="H31" i="14"/>
  <c r="H33" i="14" s="1"/>
  <c r="H42" i="14" s="1"/>
  <c r="H46" i="14" s="1"/>
  <c r="Y74" i="13"/>
  <c r="C71" i="13"/>
  <c r="N99" i="13"/>
  <c r="AH99" i="13"/>
  <c r="AH100" i="13" s="1"/>
  <c r="K97" i="13"/>
  <c r="K99" i="13" s="1"/>
  <c r="C94" i="13"/>
  <c r="P99" i="13"/>
  <c r="O4" i="13"/>
  <c r="AI61" i="13"/>
  <c r="AI66" i="13" s="1"/>
  <c r="W40" i="13"/>
  <c r="C17" i="13"/>
  <c r="P97" i="13"/>
  <c r="Q84" i="13"/>
  <c r="T40" i="13"/>
  <c r="Y42" i="13"/>
  <c r="Y46" i="13" s="1"/>
  <c r="Y47" i="13" s="1"/>
  <c r="AC13" i="13"/>
  <c r="AC22" i="13" s="1"/>
  <c r="AC33" i="13" s="1"/>
  <c r="AC42" i="13" s="1"/>
  <c r="AC46" i="13" s="1"/>
  <c r="AC47" i="13" s="1"/>
  <c r="AO61" i="13"/>
  <c r="AO66" i="13" s="1"/>
  <c r="AD42" i="13"/>
  <c r="AD46" i="13" s="1"/>
  <c r="AD47" i="13" s="1"/>
  <c r="T31" i="13"/>
  <c r="C60" i="13"/>
  <c r="T73" i="13"/>
  <c r="C72" i="13"/>
  <c r="AF97" i="13"/>
  <c r="AF99" i="13" s="1"/>
  <c r="V97" i="13"/>
  <c r="V99" i="13" s="1"/>
  <c r="AE42" i="13"/>
  <c r="AE46" i="13" s="1"/>
  <c r="AE47" i="13" s="1"/>
  <c r="H40" i="13"/>
  <c r="M66" i="13"/>
  <c r="M74" i="13" s="1"/>
  <c r="C11" i="13"/>
  <c r="AG42" i="13"/>
  <c r="AG46" i="13" s="1"/>
  <c r="AG47" i="13" s="1"/>
  <c r="AL31" i="13"/>
  <c r="AI40" i="13"/>
  <c r="AO31" i="13"/>
  <c r="AO33" i="13" s="1"/>
  <c r="AO42" i="13" s="1"/>
  <c r="AO46" i="13" s="1"/>
  <c r="AO47" i="13" s="1"/>
  <c r="P66" i="13"/>
  <c r="P74" i="13" s="1"/>
  <c r="AJ99" i="13"/>
  <c r="AJ100" i="13" s="1"/>
  <c r="R33" i="13"/>
  <c r="R42" i="13" s="1"/>
  <c r="R46" i="13" s="1"/>
  <c r="T46" i="13" s="1"/>
  <c r="T47" i="13" s="1"/>
  <c r="X42" i="13"/>
  <c r="X46" i="13" s="1"/>
  <c r="X47" i="13" s="1"/>
  <c r="AA42" i="13"/>
  <c r="AA46" i="13" s="1"/>
  <c r="AA47" i="13" s="1"/>
  <c r="Z31" i="13"/>
  <c r="AC40" i="13"/>
  <c r="Q22" i="13"/>
  <c r="Q33" i="13" s="1"/>
  <c r="Q42" i="13" s="1"/>
  <c r="Q46" i="13" s="1"/>
  <c r="Q47" i="13" s="1"/>
  <c r="AI31" i="13"/>
  <c r="C28" i="13"/>
  <c r="AK100" i="13"/>
  <c r="W73" i="13"/>
  <c r="W74" i="13" s="1"/>
  <c r="W84" i="13"/>
  <c r="K96" i="13"/>
  <c r="T22" i="13"/>
  <c r="C9" i="13"/>
  <c r="AO40" i="13"/>
  <c r="H61" i="13"/>
  <c r="AF73" i="13"/>
  <c r="AA99" i="13"/>
  <c r="AA100" i="13" s="1"/>
  <c r="AK42" i="13"/>
  <c r="AK46" i="13" s="1"/>
  <c r="AK47" i="13" s="1"/>
  <c r="S66" i="13"/>
  <c r="S74" i="13" s="1"/>
  <c r="AI73" i="13"/>
  <c r="G97" i="13"/>
  <c r="G99" i="13" s="1"/>
  <c r="G100" i="13" s="1"/>
  <c r="G102" i="13" s="1"/>
  <c r="W96" i="13"/>
  <c r="W97" i="13" s="1"/>
  <c r="AM33" i="13"/>
  <c r="AM42" i="13" s="1"/>
  <c r="AM46" i="13" s="1"/>
  <c r="AM47" i="13" s="1"/>
  <c r="C59" i="13"/>
  <c r="C61" i="13" s="1"/>
  <c r="C66" i="13" s="1"/>
  <c r="U66" i="13"/>
  <c r="U74" i="13" s="1"/>
  <c r="AL73" i="13"/>
  <c r="AI22" i="13"/>
  <c r="AN33" i="13"/>
  <c r="AN42" i="13" s="1"/>
  <c r="AN46" i="13" s="1"/>
  <c r="AN47" i="13" s="1"/>
  <c r="C38" i="13"/>
  <c r="Q61" i="13"/>
  <c r="Q66" i="13" s="1"/>
  <c r="V66" i="13"/>
  <c r="V74" i="13" s="1"/>
  <c r="J97" i="13"/>
  <c r="J99" i="13" s="1"/>
  <c r="J100" i="13" s="1"/>
  <c r="J102" i="13" s="1"/>
  <c r="AD97" i="13"/>
  <c r="AD99" i="13" s="1"/>
  <c r="AD100" i="13" s="1"/>
  <c r="AC96" i="13"/>
  <c r="AC97" i="13" s="1"/>
  <c r="AC99" i="13" s="1"/>
  <c r="AB66" i="13"/>
  <c r="AB74" i="13" s="1"/>
  <c r="I4" i="13"/>
  <c r="N22" i="13"/>
  <c r="N33" i="13" s="1"/>
  <c r="N42" i="13" s="1"/>
  <c r="V42" i="13"/>
  <c r="V46" i="13" s="1"/>
  <c r="V47" i="13" s="1"/>
  <c r="W31" i="13"/>
  <c r="T30" i="13"/>
  <c r="K73" i="13"/>
  <c r="R97" i="13"/>
  <c r="R99" i="13" s="1"/>
  <c r="R100" i="13" s="1"/>
  <c r="AM97" i="13"/>
  <c r="AM99" i="13" s="1"/>
  <c r="AM100" i="13" s="1"/>
  <c r="AL22" i="13"/>
  <c r="AL33" i="13" s="1"/>
  <c r="AL42" i="13" s="1"/>
  <c r="AL46" i="13" s="1"/>
  <c r="AL47" i="13" s="1"/>
  <c r="AL61" i="13"/>
  <c r="AL66" i="13" s="1"/>
  <c r="N73" i="13"/>
  <c r="S99" i="13"/>
  <c r="AN97" i="13"/>
  <c r="AN99" i="13" s="1"/>
  <c r="AN100" i="13" s="1"/>
  <c r="C7" i="13"/>
  <c r="C20" i="13"/>
  <c r="AC31" i="13"/>
  <c r="Z40" i="13"/>
  <c r="U97" i="13"/>
  <c r="U99" i="13" s="1"/>
  <c r="C15" i="13"/>
  <c r="C19" i="13"/>
  <c r="AF31" i="13"/>
  <c r="L66" i="13"/>
  <c r="L74" i="13" s="1"/>
  <c r="O66" i="13"/>
  <c r="O74" i="13" s="1"/>
  <c r="O100" i="13" s="1"/>
  <c r="Z73" i="13"/>
  <c r="Z74" i="13" s="1"/>
  <c r="X97" i="13"/>
  <c r="X99" i="13" s="1"/>
  <c r="AL40" i="13"/>
  <c r="AC73" i="13"/>
  <c r="AC74" i="13" s="1"/>
  <c r="Y99" i="13"/>
  <c r="Q96" i="13"/>
  <c r="Q97" i="13" s="1"/>
  <c r="Q99" i="13" s="1"/>
  <c r="AL96" i="13"/>
  <c r="AL97" i="13" s="1"/>
  <c r="AL99" i="13" s="1"/>
  <c r="Z22" i="13"/>
  <c r="C18" i="13"/>
  <c r="D42" i="13"/>
  <c r="D46" i="13" s="1"/>
  <c r="AJ42" i="13"/>
  <c r="AJ46" i="13" s="1"/>
  <c r="AJ47" i="13" s="1"/>
  <c r="F97" i="13"/>
  <c r="F99" i="13" s="1"/>
  <c r="F100" i="13" s="1"/>
  <c r="T96" i="13"/>
  <c r="T97" i="13" s="1"/>
  <c r="T99" i="13" s="1"/>
  <c r="C14" i="13"/>
  <c r="G42" i="13"/>
  <c r="G46" i="13" s="1"/>
  <c r="G47" i="13" s="1"/>
  <c r="C27" i="13"/>
  <c r="K61" i="13"/>
  <c r="K66" i="13" s="1"/>
  <c r="I99" i="13"/>
  <c r="I100" i="13" s="1"/>
  <c r="AB97" i="13"/>
  <c r="AB99" i="13" s="1"/>
  <c r="AF22" i="13"/>
  <c r="AF33" i="13" s="1"/>
  <c r="AF42" i="13" s="1"/>
  <c r="AF46" i="13" s="1"/>
  <c r="AF47" i="13" s="1"/>
  <c r="I42" i="13"/>
  <c r="I46" i="13" s="1"/>
  <c r="I47" i="13" s="1"/>
  <c r="Z96" i="13"/>
  <c r="Z97" i="13" s="1"/>
  <c r="Z99" i="13" s="1"/>
  <c r="L33" i="13"/>
  <c r="L42" i="13" s="1"/>
  <c r="L46" i="13" s="1"/>
  <c r="N46" i="13" s="1"/>
  <c r="N47" i="13" s="1"/>
  <c r="T61" i="13"/>
  <c r="T66" i="13" s="1"/>
  <c r="T74" i="13" s="1"/>
  <c r="X66" i="13"/>
  <c r="X74" i="13" s="1"/>
  <c r="AG99" i="13"/>
  <c r="H97" i="13"/>
  <c r="H99" i="13" s="1"/>
  <c r="L97" i="13"/>
  <c r="L99" i="13" s="1"/>
  <c r="AE97" i="13"/>
  <c r="AE99" i="13" s="1"/>
  <c r="H22" i="13"/>
  <c r="F22" i="13"/>
  <c r="F33" i="13" s="1"/>
  <c r="F42" i="13" s="1"/>
  <c r="F46" i="13" s="1"/>
  <c r="F47" i="13" s="1"/>
  <c r="O22" i="13"/>
  <c r="H65" i="13"/>
  <c r="H66" i="13" s="1"/>
  <c r="H74" i="13" s="1"/>
  <c r="C88" i="13"/>
  <c r="C89" i="13" s="1"/>
  <c r="N61" i="13"/>
  <c r="N66" i="13" s="1"/>
  <c r="R4" i="13"/>
  <c r="U4" i="13"/>
  <c r="H30" i="13"/>
  <c r="C39" i="13"/>
  <c r="C37" i="13"/>
  <c r="X4" i="13"/>
  <c r="O31" i="13"/>
  <c r="C92" i="13"/>
  <c r="AA4" i="13"/>
  <c r="C26" i="13"/>
  <c r="AD4" i="13"/>
  <c r="W13" i="13"/>
  <c r="W22" i="13" s="1"/>
  <c r="K22" i="13"/>
  <c r="K33" i="13" s="1"/>
  <c r="K42" i="13" s="1"/>
  <c r="K46" i="13" s="1"/>
  <c r="K47" i="13" s="1"/>
  <c r="C118" i="13"/>
  <c r="C125" i="13" s="1"/>
  <c r="C83" i="13"/>
  <c r="C84" i="13" s="1"/>
  <c r="F103" i="14" l="1"/>
  <c r="C22" i="14"/>
  <c r="AO101" i="14"/>
  <c r="AL74" i="13"/>
  <c r="AO74" i="13"/>
  <c r="AO100" i="13" s="1"/>
  <c r="S100" i="13"/>
  <c r="S102" i="13" s="1"/>
  <c r="AF74" i="13"/>
  <c r="AF100" i="13" s="1"/>
  <c r="W33" i="13"/>
  <c r="AC100" i="13"/>
  <c r="R47" i="13"/>
  <c r="T46" i="14"/>
  <c r="T47" i="14" s="1"/>
  <c r="AG100" i="13"/>
  <c r="T33" i="13"/>
  <c r="T42" i="13" s="1"/>
  <c r="U100" i="13"/>
  <c r="C96" i="13"/>
  <c r="C97" i="13" s="1"/>
  <c r="C99" i="13" s="1"/>
  <c r="L47" i="13"/>
  <c r="Q74" i="13"/>
  <c r="Q100" i="13" s="1"/>
  <c r="M100" i="13"/>
  <c r="M102" i="13" s="1"/>
  <c r="AE100" i="13"/>
  <c r="C31" i="14"/>
  <c r="C33" i="14" s="1"/>
  <c r="C42" i="14" s="1"/>
  <c r="C97" i="14"/>
  <c r="C99" i="14" s="1"/>
  <c r="C74" i="14"/>
  <c r="H47" i="14"/>
  <c r="Z100" i="13"/>
  <c r="AL100" i="13"/>
  <c r="AI74" i="13"/>
  <c r="AI100" i="13" s="1"/>
  <c r="L100" i="13"/>
  <c r="H100" i="13"/>
  <c r="V100" i="13"/>
  <c r="V102" i="13" s="1"/>
  <c r="Z33" i="13"/>
  <c r="Z42" i="13" s="1"/>
  <c r="Z46" i="13" s="1"/>
  <c r="Z47" i="13" s="1"/>
  <c r="W42" i="13"/>
  <c r="W46" i="13" s="1"/>
  <c r="W47" i="13" s="1"/>
  <c r="AI33" i="13"/>
  <c r="AI42" i="13" s="1"/>
  <c r="AI46" i="13" s="1"/>
  <c r="AI47" i="13" s="1"/>
  <c r="X100" i="13"/>
  <c r="C40" i="13"/>
  <c r="D47" i="13"/>
  <c r="P100" i="13"/>
  <c r="P102" i="13" s="1"/>
  <c r="Y100" i="13"/>
  <c r="Y102" i="13" s="1"/>
  <c r="T100" i="13"/>
  <c r="C30" i="13"/>
  <c r="K74" i="13"/>
  <c r="K100" i="13" s="1"/>
  <c r="W99" i="13"/>
  <c r="W100" i="13" s="1"/>
  <c r="C13" i="13"/>
  <c r="C22" i="13" s="1"/>
  <c r="AB100" i="13"/>
  <c r="AB102" i="13" s="1"/>
  <c r="N74" i="13"/>
  <c r="N100" i="13" s="1"/>
  <c r="C31" i="13"/>
  <c r="C33" i="13" s="1"/>
  <c r="H31" i="13"/>
  <c r="H33" i="13" s="1"/>
  <c r="H42" i="13" s="1"/>
  <c r="H46" i="13" s="1"/>
  <c r="O33" i="13"/>
  <c r="O42" i="13" s="1"/>
  <c r="O46" i="13" s="1"/>
  <c r="O47" i="13" s="1"/>
  <c r="C74" i="13"/>
  <c r="AA130" i="12"/>
  <c r="X130" i="12"/>
  <c r="U130" i="12"/>
  <c r="R130" i="12"/>
  <c r="O130" i="12"/>
  <c r="L130" i="12"/>
  <c r="I130" i="12"/>
  <c r="C129" i="12"/>
  <c r="C123" i="12"/>
  <c r="C122" i="12"/>
  <c r="C121" i="12"/>
  <c r="C120" i="12"/>
  <c r="C119" i="12"/>
  <c r="F118" i="12"/>
  <c r="C118" i="12" s="1"/>
  <c r="C117" i="12"/>
  <c r="C116" i="12"/>
  <c r="C115" i="12"/>
  <c r="C114" i="12"/>
  <c r="C113" i="12"/>
  <c r="F112" i="12"/>
  <c r="C111" i="12"/>
  <c r="C110" i="12"/>
  <c r="C109" i="12"/>
  <c r="AN96" i="12"/>
  <c r="AM96" i="12"/>
  <c r="AK96" i="12"/>
  <c r="AJ96" i="12"/>
  <c r="AH96" i="12"/>
  <c r="AG96" i="12"/>
  <c r="AE96" i="12"/>
  <c r="AD96" i="12"/>
  <c r="AB96" i="12"/>
  <c r="AA96" i="12"/>
  <c r="Y96" i="12"/>
  <c r="X96" i="12"/>
  <c r="V96" i="12"/>
  <c r="U96" i="12"/>
  <c r="R96" i="12"/>
  <c r="P96" i="12"/>
  <c r="O96" i="12"/>
  <c r="M96" i="12"/>
  <c r="L96" i="12"/>
  <c r="J96" i="12"/>
  <c r="I96" i="12"/>
  <c r="G96" i="12"/>
  <c r="F96" i="12"/>
  <c r="AO95" i="12"/>
  <c r="AL95" i="12"/>
  <c r="AI95" i="12"/>
  <c r="AF95" i="12"/>
  <c r="AC95" i="12"/>
  <c r="Z95" i="12"/>
  <c r="W95" i="12"/>
  <c r="S95" i="12"/>
  <c r="T95" i="12" s="1"/>
  <c r="Q95" i="12"/>
  <c r="N95" i="12"/>
  <c r="K95" i="12"/>
  <c r="H95" i="12"/>
  <c r="AO94" i="12"/>
  <c r="AL94" i="12"/>
  <c r="AI94" i="12"/>
  <c r="AF94" i="12"/>
  <c r="AC94" i="12"/>
  <c r="Z94" i="12"/>
  <c r="W94" i="12"/>
  <c r="T94" i="12"/>
  <c r="Q94" i="12"/>
  <c r="N94" i="12"/>
  <c r="K94" i="12"/>
  <c r="H94" i="12"/>
  <c r="AO93" i="12"/>
  <c r="AL93" i="12"/>
  <c r="AI93" i="12"/>
  <c r="AF93" i="12"/>
  <c r="AC93" i="12"/>
  <c r="Z93" i="12"/>
  <c r="W93" i="12"/>
  <c r="T93" i="12"/>
  <c r="Q93" i="12"/>
  <c r="N93" i="12"/>
  <c r="K93" i="12"/>
  <c r="K96" i="12" s="1"/>
  <c r="H93" i="12"/>
  <c r="AO92" i="12"/>
  <c r="AL92" i="12"/>
  <c r="AI92" i="12"/>
  <c r="AF92" i="12"/>
  <c r="AC92" i="12"/>
  <c r="Z92" i="12"/>
  <c r="W92" i="12"/>
  <c r="T92" i="12"/>
  <c r="Q92" i="12"/>
  <c r="N92" i="12"/>
  <c r="K92" i="12"/>
  <c r="H92" i="12"/>
  <c r="AN89" i="12"/>
  <c r="AM89" i="12"/>
  <c r="AK89" i="12"/>
  <c r="AJ89" i="12"/>
  <c r="AH89" i="12"/>
  <c r="AG89" i="12"/>
  <c r="AE89" i="12"/>
  <c r="AD89" i="12"/>
  <c r="AD97" i="12" s="1"/>
  <c r="AB89" i="12"/>
  <c r="AB97" i="12" s="1"/>
  <c r="AA89" i="12"/>
  <c r="Y89" i="12"/>
  <c r="X89" i="12"/>
  <c r="V89" i="12"/>
  <c r="U89" i="12"/>
  <c r="S89" i="12"/>
  <c r="R89" i="12"/>
  <c r="P89" i="12"/>
  <c r="O89" i="12"/>
  <c r="O97" i="12" s="1"/>
  <c r="M89" i="12"/>
  <c r="L89" i="12"/>
  <c r="J89" i="12"/>
  <c r="I89" i="12"/>
  <c r="G89" i="12"/>
  <c r="F89" i="12"/>
  <c r="AO88" i="12"/>
  <c r="AO89" i="12" s="1"/>
  <c r="AL88" i="12"/>
  <c r="AL89" i="12" s="1"/>
  <c r="AI88" i="12"/>
  <c r="AI89" i="12" s="1"/>
  <c r="AF88" i="12"/>
  <c r="AF89" i="12" s="1"/>
  <c r="AC88" i="12"/>
  <c r="AC89" i="12" s="1"/>
  <c r="Z88" i="12"/>
  <c r="Z89" i="12" s="1"/>
  <c r="W88" i="12"/>
  <c r="W89" i="12" s="1"/>
  <c r="T88" i="12"/>
  <c r="T89" i="12" s="1"/>
  <c r="Q88" i="12"/>
  <c r="Q89" i="12" s="1"/>
  <c r="N88" i="12"/>
  <c r="N89" i="12" s="1"/>
  <c r="K88" i="12"/>
  <c r="K89" i="12" s="1"/>
  <c r="H88" i="12"/>
  <c r="H89" i="12" s="1"/>
  <c r="AO87" i="12"/>
  <c r="AL87" i="12"/>
  <c r="AI87" i="12"/>
  <c r="AF87" i="12"/>
  <c r="AC87" i="12"/>
  <c r="Z87" i="12"/>
  <c r="W87" i="12"/>
  <c r="T87" i="12"/>
  <c r="Q87" i="12"/>
  <c r="N87" i="12"/>
  <c r="K87" i="12"/>
  <c r="H87" i="12"/>
  <c r="AO86" i="12"/>
  <c r="AL86" i="12"/>
  <c r="AI86" i="12"/>
  <c r="AF86" i="12"/>
  <c r="AC86" i="12"/>
  <c r="Z86" i="12"/>
  <c r="W86" i="12"/>
  <c r="T86" i="12"/>
  <c r="Q86" i="12"/>
  <c r="N86" i="12"/>
  <c r="K86" i="12"/>
  <c r="H86" i="12"/>
  <c r="AN84" i="12"/>
  <c r="AM84" i="12"/>
  <c r="AK84" i="12"/>
  <c r="AJ84" i="12"/>
  <c r="AI84" i="12"/>
  <c r="AH84" i="12"/>
  <c r="AG84" i="12"/>
  <c r="AF84" i="12"/>
  <c r="AE84" i="12"/>
  <c r="AD84" i="12"/>
  <c r="AB84" i="12"/>
  <c r="AA84" i="12"/>
  <c r="Y84" i="12"/>
  <c r="X84" i="12"/>
  <c r="V84" i="12"/>
  <c r="U84" i="12"/>
  <c r="S84" i="12"/>
  <c r="R84" i="12"/>
  <c r="P84" i="12"/>
  <c r="O84" i="12"/>
  <c r="O99" i="12" s="1"/>
  <c r="M84" i="12"/>
  <c r="L84" i="12"/>
  <c r="J84" i="12"/>
  <c r="I84" i="12"/>
  <c r="H84" i="12"/>
  <c r="G84" i="12"/>
  <c r="F84" i="12"/>
  <c r="AO83" i="12"/>
  <c r="AO84" i="12" s="1"/>
  <c r="AL83" i="12"/>
  <c r="AL84" i="12" s="1"/>
  <c r="AI83" i="12"/>
  <c r="AF83" i="12"/>
  <c r="AC83" i="12"/>
  <c r="AC84" i="12" s="1"/>
  <c r="Z83" i="12"/>
  <c r="Z84" i="12" s="1"/>
  <c r="W83" i="12"/>
  <c r="W84" i="12" s="1"/>
  <c r="T83" i="12"/>
  <c r="T84" i="12" s="1"/>
  <c r="Q83" i="12"/>
  <c r="Q84" i="12" s="1"/>
  <c r="N83" i="12"/>
  <c r="N84" i="12" s="1"/>
  <c r="K83" i="12"/>
  <c r="H83" i="12"/>
  <c r="C81" i="12"/>
  <c r="AN73" i="12"/>
  <c r="AM73" i="12"/>
  <c r="AK73" i="12"/>
  <c r="AJ73" i="12"/>
  <c r="AH73" i="12"/>
  <c r="AG73" i="12"/>
  <c r="AE73" i="12"/>
  <c r="AD73" i="12"/>
  <c r="AB73" i="12"/>
  <c r="AA73" i="12"/>
  <c r="Y73" i="12"/>
  <c r="X73" i="12"/>
  <c r="V73" i="12"/>
  <c r="U73" i="12"/>
  <c r="S73" i="12"/>
  <c r="R73" i="12"/>
  <c r="O73" i="12"/>
  <c r="M73" i="12"/>
  <c r="L73" i="12"/>
  <c r="J73" i="12"/>
  <c r="I73" i="12"/>
  <c r="G73" i="12"/>
  <c r="F73" i="12"/>
  <c r="AO72" i="12"/>
  <c r="AL72" i="12"/>
  <c r="AI72" i="12"/>
  <c r="AF72" i="12"/>
  <c r="AC72" i="12"/>
  <c r="Z72" i="12"/>
  <c r="W72" i="12"/>
  <c r="T72" i="12"/>
  <c r="Q72" i="12"/>
  <c r="N72" i="12"/>
  <c r="K72" i="12"/>
  <c r="H72" i="12"/>
  <c r="AO71" i="12"/>
  <c r="AL71" i="12"/>
  <c r="AI71" i="12"/>
  <c r="AF71" i="12"/>
  <c r="AC71" i="12"/>
  <c r="Z71" i="12"/>
  <c r="W71" i="12"/>
  <c r="T71" i="12"/>
  <c r="P71" i="12"/>
  <c r="P73" i="12" s="1"/>
  <c r="N71" i="12"/>
  <c r="K71" i="12"/>
  <c r="H71" i="12"/>
  <c r="AO70" i="12"/>
  <c r="AL70" i="12"/>
  <c r="AI70" i="12"/>
  <c r="AF70" i="12"/>
  <c r="AC70" i="12"/>
  <c r="Z70" i="12"/>
  <c r="W70" i="12"/>
  <c r="T70" i="12"/>
  <c r="Q70" i="12"/>
  <c r="N70" i="12"/>
  <c r="K70" i="12"/>
  <c r="H70" i="12"/>
  <c r="AO69" i="12"/>
  <c r="AL69" i="12"/>
  <c r="AI69" i="12"/>
  <c r="AF69" i="12"/>
  <c r="AC69" i="12"/>
  <c r="Z69" i="12"/>
  <c r="W69" i="12"/>
  <c r="T69" i="12"/>
  <c r="Q69" i="12"/>
  <c r="N69" i="12"/>
  <c r="K69" i="12"/>
  <c r="H69" i="12"/>
  <c r="AO65" i="12"/>
  <c r="AN65" i="12"/>
  <c r="AM65" i="12"/>
  <c r="AL65" i="12"/>
  <c r="AK65" i="12"/>
  <c r="AJ65" i="12"/>
  <c r="AI65" i="12"/>
  <c r="AH65" i="12"/>
  <c r="AG65" i="12"/>
  <c r="AF65" i="12"/>
  <c r="AE65" i="12"/>
  <c r="AD65" i="12"/>
  <c r="AC65" i="12"/>
  <c r="AB65" i="12"/>
  <c r="AA65" i="12"/>
  <c r="Z65" i="12"/>
  <c r="Y65" i="12"/>
  <c r="X65" i="12"/>
  <c r="W65" i="12"/>
  <c r="V65" i="12"/>
  <c r="U65" i="12"/>
  <c r="T65" i="12"/>
  <c r="S65" i="12"/>
  <c r="R65" i="12"/>
  <c r="Q65" i="12"/>
  <c r="P65" i="12"/>
  <c r="O65" i="12"/>
  <c r="N65" i="12"/>
  <c r="M65" i="12"/>
  <c r="L65" i="12"/>
  <c r="K65" i="12"/>
  <c r="J65" i="12"/>
  <c r="I65" i="12"/>
  <c r="G65" i="12"/>
  <c r="F65" i="12"/>
  <c r="H64" i="12"/>
  <c r="H65" i="12" s="1"/>
  <c r="AN61" i="12"/>
  <c r="AM61" i="12"/>
  <c r="AM66" i="12" s="1"/>
  <c r="AM74" i="12" s="1"/>
  <c r="AK61" i="12"/>
  <c r="AJ61" i="12"/>
  <c r="AH61" i="12"/>
  <c r="AG61" i="12"/>
  <c r="AE61" i="12"/>
  <c r="AD61" i="12"/>
  <c r="AB61" i="12"/>
  <c r="AA61" i="12"/>
  <c r="Y61" i="12"/>
  <c r="X61" i="12"/>
  <c r="V61" i="12"/>
  <c r="U61" i="12"/>
  <c r="U66" i="12" s="1"/>
  <c r="S61" i="12"/>
  <c r="S66" i="12" s="1"/>
  <c r="R61" i="12"/>
  <c r="R66" i="12" s="1"/>
  <c r="R74" i="12" s="1"/>
  <c r="P61" i="12"/>
  <c r="P66" i="12" s="1"/>
  <c r="O61" i="12"/>
  <c r="O66" i="12" s="1"/>
  <c r="O74" i="12" s="1"/>
  <c r="O100" i="12" s="1"/>
  <c r="M61" i="12"/>
  <c r="M66" i="12" s="1"/>
  <c r="M74" i="12" s="1"/>
  <c r="L61" i="12"/>
  <c r="L66" i="12" s="1"/>
  <c r="L74" i="12" s="1"/>
  <c r="J61" i="12"/>
  <c r="I61" i="12"/>
  <c r="G61" i="12"/>
  <c r="F61" i="12"/>
  <c r="AO60" i="12"/>
  <c r="AL60" i="12"/>
  <c r="AI60" i="12"/>
  <c r="AF60" i="12"/>
  <c r="AC60" i="12"/>
  <c r="Z60" i="12"/>
  <c r="W60" i="12"/>
  <c r="T60" i="12"/>
  <c r="Q60" i="12"/>
  <c r="Q61" i="12" s="1"/>
  <c r="Q66" i="12" s="1"/>
  <c r="N60" i="12"/>
  <c r="K60" i="12"/>
  <c r="H60" i="12"/>
  <c r="AO59" i="12"/>
  <c r="AO61" i="12" s="1"/>
  <c r="AO66" i="12" s="1"/>
  <c r="AL59" i="12"/>
  <c r="AI59" i="12"/>
  <c r="AI61" i="12" s="1"/>
  <c r="AI66" i="12" s="1"/>
  <c r="AF59" i="12"/>
  <c r="AF61" i="12" s="1"/>
  <c r="AF66" i="12" s="1"/>
  <c r="AC59" i="12"/>
  <c r="AC61" i="12" s="1"/>
  <c r="AC66" i="12" s="1"/>
  <c r="Z59" i="12"/>
  <c r="Z61" i="12" s="1"/>
  <c r="Z66" i="12" s="1"/>
  <c r="W59" i="12"/>
  <c r="T59" i="12"/>
  <c r="Q59" i="12"/>
  <c r="N59" i="12"/>
  <c r="K59" i="12"/>
  <c r="H59" i="12"/>
  <c r="C53" i="12"/>
  <c r="A50" i="12"/>
  <c r="AO41" i="12"/>
  <c r="AL41" i="12"/>
  <c r="AI41" i="12"/>
  <c r="AF41" i="12"/>
  <c r="AC41" i="12"/>
  <c r="Z41" i="12"/>
  <c r="W41" i="12"/>
  <c r="T41" i="12"/>
  <c r="Q41" i="12"/>
  <c r="N41" i="12"/>
  <c r="K41" i="12"/>
  <c r="H41" i="12"/>
  <c r="AN40" i="12"/>
  <c r="AM40" i="12"/>
  <c r="AK40" i="12"/>
  <c r="AJ40" i="12"/>
  <c r="AH40" i="12"/>
  <c r="AG40" i="12"/>
  <c r="AE40" i="12"/>
  <c r="AD40" i="12"/>
  <c r="AB40" i="12"/>
  <c r="AA40" i="12"/>
  <c r="Y40" i="12"/>
  <c r="X40" i="12"/>
  <c r="V40" i="12"/>
  <c r="U40" i="12"/>
  <c r="S40" i="12"/>
  <c r="R40" i="12"/>
  <c r="P40" i="12"/>
  <c r="O40" i="12"/>
  <c r="M40" i="12"/>
  <c r="L40" i="12"/>
  <c r="J40" i="12"/>
  <c r="I40" i="12"/>
  <c r="G40" i="12"/>
  <c r="F40" i="12"/>
  <c r="D40" i="12"/>
  <c r="AO39" i="12"/>
  <c r="AL39" i="12"/>
  <c r="AI39" i="12"/>
  <c r="AF39" i="12"/>
  <c r="AC39" i="12"/>
  <c r="Z39" i="12"/>
  <c r="W39" i="12"/>
  <c r="T39" i="12"/>
  <c r="Q39" i="12"/>
  <c r="N39" i="12"/>
  <c r="K39" i="12"/>
  <c r="H39" i="12"/>
  <c r="H40" i="12" s="1"/>
  <c r="AO38" i="12"/>
  <c r="AL38" i="12"/>
  <c r="AI38" i="12"/>
  <c r="AF38" i="12"/>
  <c r="AC38" i="12"/>
  <c r="Z38" i="12"/>
  <c r="W38" i="12"/>
  <c r="T38" i="12"/>
  <c r="Q38" i="12"/>
  <c r="N38" i="12"/>
  <c r="K38" i="12"/>
  <c r="H38" i="12"/>
  <c r="AO37" i="12"/>
  <c r="AL37" i="12"/>
  <c r="AI37" i="12"/>
  <c r="AF37" i="12"/>
  <c r="AC37" i="12"/>
  <c r="Z37" i="12"/>
  <c r="W37" i="12"/>
  <c r="W40" i="12" s="1"/>
  <c r="T37" i="12"/>
  <c r="T40" i="12" s="1"/>
  <c r="Q37" i="12"/>
  <c r="Q40" i="12" s="1"/>
  <c r="N37" i="12"/>
  <c r="N40" i="12" s="1"/>
  <c r="K37" i="12"/>
  <c r="H37" i="12"/>
  <c r="AO32" i="12"/>
  <c r="AL32" i="12"/>
  <c r="AI32" i="12"/>
  <c r="AF32" i="12"/>
  <c r="AC32" i="12"/>
  <c r="Z32" i="12"/>
  <c r="W32" i="12"/>
  <c r="T32" i="12"/>
  <c r="Q32" i="12"/>
  <c r="N32" i="12"/>
  <c r="K32" i="12"/>
  <c r="H32" i="12"/>
  <c r="AN31" i="12"/>
  <c r="AM31" i="12"/>
  <c r="AK31" i="12"/>
  <c r="AJ31" i="12"/>
  <c r="AH31" i="12"/>
  <c r="AG31" i="12"/>
  <c r="AE31" i="12"/>
  <c r="AD31" i="12"/>
  <c r="AB31" i="12"/>
  <c r="AA31" i="12"/>
  <c r="Y31" i="12"/>
  <c r="X31" i="12"/>
  <c r="V31" i="12"/>
  <c r="U31" i="12"/>
  <c r="S31" i="12"/>
  <c r="R31" i="12"/>
  <c r="P31" i="12"/>
  <c r="O31" i="12"/>
  <c r="M31" i="12"/>
  <c r="L31" i="12"/>
  <c r="J31" i="12"/>
  <c r="I31" i="12"/>
  <c r="G31" i="12"/>
  <c r="F31" i="12"/>
  <c r="D31" i="12"/>
  <c r="AO30" i="12"/>
  <c r="AL30" i="12"/>
  <c r="AI30" i="12"/>
  <c r="AF30" i="12"/>
  <c r="AC30" i="12"/>
  <c r="Z30" i="12"/>
  <c r="W30" i="12"/>
  <c r="T30" i="12"/>
  <c r="O30" i="12"/>
  <c r="Q30" i="12" s="1"/>
  <c r="N30" i="12"/>
  <c r="K30" i="12"/>
  <c r="H30" i="12"/>
  <c r="AO29" i="12"/>
  <c r="AL29" i="12"/>
  <c r="AI29" i="12"/>
  <c r="AF29" i="12"/>
  <c r="AC29" i="12"/>
  <c r="Z29" i="12"/>
  <c r="W29" i="12"/>
  <c r="T29" i="12"/>
  <c r="Q29" i="12"/>
  <c r="N29" i="12"/>
  <c r="K29" i="12"/>
  <c r="H29" i="12"/>
  <c r="AO28" i="12"/>
  <c r="AL28" i="12"/>
  <c r="AI28" i="12"/>
  <c r="AF28" i="12"/>
  <c r="AC28" i="12"/>
  <c r="Z28" i="12"/>
  <c r="W28" i="12"/>
  <c r="T28" i="12"/>
  <c r="Q28" i="12"/>
  <c r="N28" i="12"/>
  <c r="K28" i="12"/>
  <c r="H28" i="12"/>
  <c r="AO27" i="12"/>
  <c r="AL27" i="12"/>
  <c r="AI27" i="12"/>
  <c r="AF27" i="12"/>
  <c r="AC27" i="12"/>
  <c r="Z27" i="12"/>
  <c r="W27" i="12"/>
  <c r="T27" i="12"/>
  <c r="Q27" i="12"/>
  <c r="N27" i="12"/>
  <c r="K27" i="12"/>
  <c r="H27" i="12"/>
  <c r="AO26" i="12"/>
  <c r="AL26" i="12"/>
  <c r="AI26" i="12"/>
  <c r="AF26" i="12"/>
  <c r="AC26" i="12"/>
  <c r="Z26" i="12"/>
  <c r="W26" i="12"/>
  <c r="T26" i="12"/>
  <c r="Q26" i="12"/>
  <c r="N26" i="12"/>
  <c r="K26" i="12"/>
  <c r="H26" i="12"/>
  <c r="AN22" i="12"/>
  <c r="AM22" i="12"/>
  <c r="AK22" i="12"/>
  <c r="AJ22" i="12"/>
  <c r="AH22" i="12"/>
  <c r="AG22" i="12"/>
  <c r="AE22" i="12"/>
  <c r="AD22" i="12"/>
  <c r="AB22" i="12"/>
  <c r="AB33" i="12" s="1"/>
  <c r="AB42" i="12" s="1"/>
  <c r="AB46" i="12" s="1"/>
  <c r="AB47" i="12" s="1"/>
  <c r="AA22" i="12"/>
  <c r="Y22" i="12"/>
  <c r="Y33" i="12" s="1"/>
  <c r="Y42" i="12" s="1"/>
  <c r="Y46" i="12" s="1"/>
  <c r="Y47" i="12" s="1"/>
  <c r="X22" i="12"/>
  <c r="V22" i="12"/>
  <c r="V33" i="12" s="1"/>
  <c r="V42" i="12" s="1"/>
  <c r="V46" i="12" s="1"/>
  <c r="V47" i="12" s="1"/>
  <c r="U22" i="12"/>
  <c r="U33" i="12" s="1"/>
  <c r="U42" i="12" s="1"/>
  <c r="U46" i="12" s="1"/>
  <c r="U47" i="12" s="1"/>
  <c r="S22" i="12"/>
  <c r="S33" i="12" s="1"/>
  <c r="S42" i="12" s="1"/>
  <c r="S46" i="12" s="1"/>
  <c r="S47" i="12" s="1"/>
  <c r="R22" i="12"/>
  <c r="R33" i="12" s="1"/>
  <c r="R42" i="12" s="1"/>
  <c r="R46" i="12" s="1"/>
  <c r="P22" i="12"/>
  <c r="P33" i="12" s="1"/>
  <c r="P42" i="12" s="1"/>
  <c r="P46" i="12" s="1"/>
  <c r="P47" i="12" s="1"/>
  <c r="O22" i="12"/>
  <c r="O33" i="12" s="1"/>
  <c r="O42" i="12" s="1"/>
  <c r="O46" i="12" s="1"/>
  <c r="O47" i="12" s="1"/>
  <c r="M22" i="12"/>
  <c r="M33" i="12" s="1"/>
  <c r="M42" i="12" s="1"/>
  <c r="M46" i="12" s="1"/>
  <c r="M47" i="12" s="1"/>
  <c r="L22" i="12"/>
  <c r="L33" i="12" s="1"/>
  <c r="L42" i="12" s="1"/>
  <c r="L46" i="12" s="1"/>
  <c r="J22" i="12"/>
  <c r="G22" i="12"/>
  <c r="D22" i="12"/>
  <c r="D33" i="12" s="1"/>
  <c r="AO21" i="12"/>
  <c r="AL21" i="12"/>
  <c r="AI21" i="12"/>
  <c r="AF21" i="12"/>
  <c r="AC21" i="12"/>
  <c r="Z21" i="12"/>
  <c r="W21" i="12"/>
  <c r="T21" i="12"/>
  <c r="Q21" i="12"/>
  <c r="N21" i="12"/>
  <c r="I21" i="12"/>
  <c r="I22" i="12" s="1"/>
  <c r="I33" i="12" s="1"/>
  <c r="I42" i="12" s="1"/>
  <c r="I46" i="12" s="1"/>
  <c r="I47" i="12" s="1"/>
  <c r="H21" i="12"/>
  <c r="AO20" i="12"/>
  <c r="AL20" i="12"/>
  <c r="AI20" i="12"/>
  <c r="AF20" i="12"/>
  <c r="AC20" i="12"/>
  <c r="Z20" i="12"/>
  <c r="W20" i="12"/>
  <c r="T20" i="12"/>
  <c r="Q20" i="12"/>
  <c r="N20" i="12"/>
  <c r="K20" i="12"/>
  <c r="H20" i="12"/>
  <c r="AO19" i="12"/>
  <c r="AL19" i="12"/>
  <c r="AI19" i="12"/>
  <c r="AF19" i="12"/>
  <c r="AC19" i="12"/>
  <c r="Z19" i="12"/>
  <c r="W19" i="12"/>
  <c r="T19" i="12"/>
  <c r="Q19" i="12"/>
  <c r="N19" i="12"/>
  <c r="K19" i="12"/>
  <c r="H19" i="12"/>
  <c r="AO18" i="12"/>
  <c r="AL18" i="12"/>
  <c r="AI18" i="12"/>
  <c r="AF18" i="12"/>
  <c r="AC18" i="12"/>
  <c r="Z18" i="12"/>
  <c r="W18" i="12"/>
  <c r="T18" i="12"/>
  <c r="Q18" i="12"/>
  <c r="N18" i="12"/>
  <c r="K18" i="12"/>
  <c r="H18" i="12"/>
  <c r="AO17" i="12"/>
  <c r="AL17" i="12"/>
  <c r="AI17" i="12"/>
  <c r="AF17" i="12"/>
  <c r="AC17" i="12"/>
  <c r="Z17" i="12"/>
  <c r="W17" i="12"/>
  <c r="T17" i="12"/>
  <c r="Q17" i="12"/>
  <c r="N17" i="12"/>
  <c r="K17" i="12"/>
  <c r="H17" i="12"/>
  <c r="AO16" i="12"/>
  <c r="AL16" i="12"/>
  <c r="AI16" i="12"/>
  <c r="AF16" i="12"/>
  <c r="AC16" i="12"/>
  <c r="Z16" i="12"/>
  <c r="W16" i="12"/>
  <c r="T16" i="12"/>
  <c r="Q16" i="12"/>
  <c r="N16" i="12"/>
  <c r="K16" i="12"/>
  <c r="F16" i="12"/>
  <c r="F22" i="12" s="1"/>
  <c r="F33" i="12" s="1"/>
  <c r="F42" i="12" s="1"/>
  <c r="F46" i="12" s="1"/>
  <c r="F47" i="12" s="1"/>
  <c r="AO15" i="12"/>
  <c r="AL15" i="12"/>
  <c r="AI15" i="12"/>
  <c r="AF15" i="12"/>
  <c r="AC15" i="12"/>
  <c r="Z15" i="12"/>
  <c r="W15" i="12"/>
  <c r="T15" i="12"/>
  <c r="Q15" i="12"/>
  <c r="N15" i="12"/>
  <c r="K15" i="12"/>
  <c r="H15" i="12"/>
  <c r="AO14" i="12"/>
  <c r="AL14" i="12"/>
  <c r="AI14" i="12"/>
  <c r="AF14" i="12"/>
  <c r="AC14" i="12"/>
  <c r="Z14" i="12"/>
  <c r="W14" i="12"/>
  <c r="T14" i="12"/>
  <c r="Q14" i="12"/>
  <c r="N14" i="12"/>
  <c r="K14" i="12"/>
  <c r="H14" i="12"/>
  <c r="AO13" i="12"/>
  <c r="AL13" i="12"/>
  <c r="AI13" i="12"/>
  <c r="AF13" i="12"/>
  <c r="AC13" i="12"/>
  <c r="Z13" i="12"/>
  <c r="W13" i="12"/>
  <c r="T13" i="12"/>
  <c r="Q13" i="12"/>
  <c r="N13" i="12"/>
  <c r="K13" i="12"/>
  <c r="H13" i="12"/>
  <c r="C13" i="12" s="1"/>
  <c r="AC12" i="12"/>
  <c r="Z12" i="12"/>
  <c r="W12" i="12"/>
  <c r="T12" i="12"/>
  <c r="Q12" i="12"/>
  <c r="N12" i="12"/>
  <c r="K12" i="12"/>
  <c r="H12" i="12"/>
  <c r="AO11" i="12"/>
  <c r="AL11" i="12"/>
  <c r="AI11" i="12"/>
  <c r="AF11" i="12"/>
  <c r="AC11" i="12"/>
  <c r="Z11" i="12"/>
  <c r="W11" i="12"/>
  <c r="T11" i="12"/>
  <c r="Q11" i="12"/>
  <c r="N11" i="12"/>
  <c r="K11" i="12"/>
  <c r="H11" i="12"/>
  <c r="AC10" i="12"/>
  <c r="Z10" i="12"/>
  <c r="W10" i="12"/>
  <c r="T10" i="12"/>
  <c r="Q10" i="12"/>
  <c r="N10" i="12"/>
  <c r="K10" i="12"/>
  <c r="H10" i="12"/>
  <c r="AC9" i="12"/>
  <c r="Z9" i="12"/>
  <c r="W9" i="12"/>
  <c r="T9" i="12"/>
  <c r="Q9" i="12"/>
  <c r="N9" i="12"/>
  <c r="K9" i="12"/>
  <c r="H9" i="12"/>
  <c r="AC8" i="12"/>
  <c r="Z8" i="12"/>
  <c r="W8" i="12"/>
  <c r="T8" i="12"/>
  <c r="Q8" i="12"/>
  <c r="N8" i="12"/>
  <c r="K8" i="12"/>
  <c r="H8" i="12"/>
  <c r="AO7" i="12"/>
  <c r="AL7" i="12"/>
  <c r="AI7" i="12"/>
  <c r="AF7" i="12"/>
  <c r="AF22" i="12" s="1"/>
  <c r="AC7" i="12"/>
  <c r="Z7" i="12"/>
  <c r="W7" i="12"/>
  <c r="T7" i="12"/>
  <c r="Q7" i="12"/>
  <c r="N7" i="12"/>
  <c r="K7" i="12"/>
  <c r="H7" i="12"/>
  <c r="F4" i="12"/>
  <c r="X4" i="12" s="1"/>
  <c r="C100" i="14" l="1"/>
  <c r="F103" i="13"/>
  <c r="I66" i="12"/>
  <c r="I74" i="12" s="1"/>
  <c r="F97" i="12"/>
  <c r="G97" i="12"/>
  <c r="AI73" i="12"/>
  <c r="AI40" i="12"/>
  <c r="AL73" i="12"/>
  <c r="C95" i="12"/>
  <c r="C8" i="12"/>
  <c r="AO73" i="12"/>
  <c r="H73" i="12"/>
  <c r="M97" i="12"/>
  <c r="M99" i="12" s="1"/>
  <c r="M100" i="12" s="1"/>
  <c r="M102" i="12" s="1"/>
  <c r="AO31" i="12"/>
  <c r="Y66" i="12"/>
  <c r="Y74" i="12" s="1"/>
  <c r="AA66" i="12"/>
  <c r="AA74" i="12" s="1"/>
  <c r="AF96" i="12"/>
  <c r="AF97" i="12" s="1"/>
  <c r="AF99" i="12" s="1"/>
  <c r="AB66" i="12"/>
  <c r="AB74" i="12" s="1"/>
  <c r="U99" i="12"/>
  <c r="AI96" i="12"/>
  <c r="H16" i="12"/>
  <c r="AG33" i="12"/>
  <c r="AG42" i="12" s="1"/>
  <c r="AG46" i="12" s="1"/>
  <c r="AG47" i="12" s="1"/>
  <c r="C92" i="12"/>
  <c r="AH33" i="12"/>
  <c r="AH42" i="12" s="1"/>
  <c r="AH46" i="12" s="1"/>
  <c r="AH47" i="12" s="1"/>
  <c r="AE66" i="12"/>
  <c r="AE74" i="12" s="1"/>
  <c r="U97" i="12"/>
  <c r="Q96" i="12"/>
  <c r="C46" i="14"/>
  <c r="C47" i="14" s="1"/>
  <c r="AJ33" i="12"/>
  <c r="AJ42" i="12" s="1"/>
  <c r="AJ46" i="12" s="1"/>
  <c r="AJ47" i="12" s="1"/>
  <c r="AG66" i="12"/>
  <c r="AG74" i="12" s="1"/>
  <c r="Q97" i="12"/>
  <c r="V97" i="12"/>
  <c r="V99" i="12" s="1"/>
  <c r="V100" i="12" s="1"/>
  <c r="V102" i="12" s="1"/>
  <c r="C11" i="12"/>
  <c r="C17" i="12"/>
  <c r="AK33" i="12"/>
  <c r="AK42" i="12" s="1"/>
  <c r="AK46" i="12" s="1"/>
  <c r="AK47" i="12" s="1"/>
  <c r="AH66" i="12"/>
  <c r="AH74" i="12" s="1"/>
  <c r="X97" i="12"/>
  <c r="X99" i="12" s="1"/>
  <c r="W96" i="12"/>
  <c r="W97" i="12" s="1"/>
  <c r="W99" i="12" s="1"/>
  <c r="W100" i="12" s="1"/>
  <c r="G33" i="12"/>
  <c r="G42" i="12" s="1"/>
  <c r="G46" i="12" s="1"/>
  <c r="G47" i="12" s="1"/>
  <c r="AM33" i="12"/>
  <c r="AM42" i="12" s="1"/>
  <c r="AM46" i="12" s="1"/>
  <c r="AM47" i="12" s="1"/>
  <c r="AJ66" i="12"/>
  <c r="AJ74" i="12" s="1"/>
  <c r="T73" i="12"/>
  <c r="J33" i="12"/>
  <c r="J42" i="12" s="1"/>
  <c r="J46" i="12" s="1"/>
  <c r="J47" i="12" s="1"/>
  <c r="AN33" i="12"/>
  <c r="AN42" i="12" s="1"/>
  <c r="AN46" i="12" s="1"/>
  <c r="AN47" i="12" s="1"/>
  <c r="AK66" i="12"/>
  <c r="AK74" i="12" s="1"/>
  <c r="W73" i="12"/>
  <c r="AL22" i="12"/>
  <c r="AI31" i="12"/>
  <c r="AI74" i="12"/>
  <c r="G66" i="12"/>
  <c r="G74" i="12" s="1"/>
  <c r="Q71" i="12"/>
  <c r="C71" i="12" s="1"/>
  <c r="C83" i="12"/>
  <c r="C84" i="12" s="1"/>
  <c r="K84" i="12"/>
  <c r="K99" i="12" s="1"/>
  <c r="AE99" i="12"/>
  <c r="AE100" i="12" s="1"/>
  <c r="J97" i="12"/>
  <c r="J99" i="12" s="1"/>
  <c r="N31" i="12"/>
  <c r="Z40" i="12"/>
  <c r="AL61" i="12"/>
  <c r="AL66" i="12" s="1"/>
  <c r="AL74" i="12" s="1"/>
  <c r="K73" i="12"/>
  <c r="L97" i="12"/>
  <c r="L99" i="12" s="1"/>
  <c r="L100" i="12" s="1"/>
  <c r="Z96" i="12"/>
  <c r="AC22" i="12"/>
  <c r="C10" i="12"/>
  <c r="C27" i="12"/>
  <c r="AC40" i="12"/>
  <c r="J66" i="12"/>
  <c r="J74" i="12" s="1"/>
  <c r="Q99" i="12"/>
  <c r="K97" i="12"/>
  <c r="AE97" i="12"/>
  <c r="AC96" i="12"/>
  <c r="AC97" i="12" s="1"/>
  <c r="AC99" i="12" s="1"/>
  <c r="AC100" i="12" s="1"/>
  <c r="AD99" i="12"/>
  <c r="C20" i="12"/>
  <c r="C26" i="12"/>
  <c r="C30" i="12"/>
  <c r="C60" i="12"/>
  <c r="AD66" i="12"/>
  <c r="AD74" i="12" s="1"/>
  <c r="AD100" i="12" s="1"/>
  <c r="AG97" i="12"/>
  <c r="AG99" i="12" s="1"/>
  <c r="AG100" i="12" s="1"/>
  <c r="C94" i="12"/>
  <c r="AH97" i="12"/>
  <c r="AH99" i="12" s="1"/>
  <c r="Z31" i="12"/>
  <c r="D42" i="12"/>
  <c r="AL40" i="12"/>
  <c r="C69" i="12"/>
  <c r="P97" i="12"/>
  <c r="AJ97" i="12"/>
  <c r="AJ99" i="12" s="1"/>
  <c r="AJ100" i="12" s="1"/>
  <c r="AL96" i="12"/>
  <c r="AL97" i="12" s="1"/>
  <c r="AL99" i="12" s="1"/>
  <c r="S96" i="12"/>
  <c r="S97" i="12" s="1"/>
  <c r="S99" i="12" s="1"/>
  <c r="S100" i="12" s="1"/>
  <c r="S102" i="12" s="1"/>
  <c r="C42" i="13"/>
  <c r="H22" i="12"/>
  <c r="Q31" i="12"/>
  <c r="AO40" i="12"/>
  <c r="N73" i="12"/>
  <c r="AK97" i="12"/>
  <c r="AK99" i="12" s="1"/>
  <c r="AK100" i="12" s="1"/>
  <c r="AO96" i="12"/>
  <c r="AO97" i="12" s="1"/>
  <c r="AO99" i="12" s="1"/>
  <c r="AO101" i="13"/>
  <c r="AO22" i="12"/>
  <c r="AO33" i="12" s="1"/>
  <c r="C12" i="12"/>
  <c r="X33" i="12"/>
  <c r="X42" i="12" s="1"/>
  <c r="X46" i="12" s="1"/>
  <c r="X47" i="12" s="1"/>
  <c r="T31" i="12"/>
  <c r="C29" i="12"/>
  <c r="C38" i="12"/>
  <c r="C59" i="12"/>
  <c r="R97" i="12"/>
  <c r="R99" i="12" s="1"/>
  <c r="R100" i="12" s="1"/>
  <c r="C93" i="12"/>
  <c r="R4" i="12"/>
  <c r="C19" i="12"/>
  <c r="K31" i="12"/>
  <c r="K61" i="12"/>
  <c r="K66" i="12" s="1"/>
  <c r="K74" i="12" s="1"/>
  <c r="AN66" i="12"/>
  <c r="AN74" i="12" s="1"/>
  <c r="AF73" i="12"/>
  <c r="AF74" i="12" s="1"/>
  <c r="AN99" i="12"/>
  <c r="AM97" i="12"/>
  <c r="AM99" i="12" s="1"/>
  <c r="AM100" i="12" s="1"/>
  <c r="C18" i="12"/>
  <c r="N22" i="12"/>
  <c r="N33" i="12" s="1"/>
  <c r="N42" i="12" s="1"/>
  <c r="Q22" i="12"/>
  <c r="C15" i="12"/>
  <c r="AA33" i="12"/>
  <c r="AA42" i="12" s="1"/>
  <c r="AA46" i="12" s="1"/>
  <c r="AA47" i="12" s="1"/>
  <c r="AL31" i="12"/>
  <c r="N61" i="12"/>
  <c r="N66" i="12" s="1"/>
  <c r="S74" i="12"/>
  <c r="AN97" i="12"/>
  <c r="T22" i="12"/>
  <c r="T33" i="12" s="1"/>
  <c r="T42" i="12" s="1"/>
  <c r="C14" i="12"/>
  <c r="AC31" i="12"/>
  <c r="U74" i="12"/>
  <c r="C64" i="12"/>
  <c r="C65" i="12" s="1"/>
  <c r="Z73" i="12"/>
  <c r="Z74" i="12" s="1"/>
  <c r="C72" i="12"/>
  <c r="AI97" i="12"/>
  <c r="AI99" i="12" s="1"/>
  <c r="AI100" i="12" s="1"/>
  <c r="AA97" i="12"/>
  <c r="AA99" i="12" s="1"/>
  <c r="AA100" i="12" s="1"/>
  <c r="W22" i="12"/>
  <c r="W33" i="12" s="1"/>
  <c r="W42" i="12" s="1"/>
  <c r="W46" i="12" s="1"/>
  <c r="W47" i="12" s="1"/>
  <c r="C16" i="12"/>
  <c r="C9" i="12"/>
  <c r="AF31" i="12"/>
  <c r="AF40" i="12"/>
  <c r="T61" i="12"/>
  <c r="T66" i="12" s="1"/>
  <c r="T74" i="12" s="1"/>
  <c r="V66" i="12"/>
  <c r="V74" i="12" s="1"/>
  <c r="AC73" i="12"/>
  <c r="AC74" i="12" s="1"/>
  <c r="F99" i="12"/>
  <c r="T96" i="12"/>
  <c r="T97" i="12" s="1"/>
  <c r="T99" i="12" s="1"/>
  <c r="F125" i="12"/>
  <c r="I97" i="12"/>
  <c r="I99" i="12" s="1"/>
  <c r="I100" i="12" s="1"/>
  <c r="AD33" i="12"/>
  <c r="AD42" i="12" s="1"/>
  <c r="AD46" i="12" s="1"/>
  <c r="AD47" i="12" s="1"/>
  <c r="Z22" i="12"/>
  <c r="Z33" i="12" s="1"/>
  <c r="AI22" i="12"/>
  <c r="AI33" i="12" s="1"/>
  <c r="AI42" i="12" s="1"/>
  <c r="AI46" i="12" s="1"/>
  <c r="AI47" i="12" s="1"/>
  <c r="AE33" i="12"/>
  <c r="AE42" i="12" s="1"/>
  <c r="AE46" i="12" s="1"/>
  <c r="AE47" i="12" s="1"/>
  <c r="C28" i="12"/>
  <c r="W31" i="12"/>
  <c r="C37" i="12"/>
  <c r="W61" i="12"/>
  <c r="W66" i="12" s="1"/>
  <c r="W74" i="12" s="1"/>
  <c r="X66" i="12"/>
  <c r="X74" i="12" s="1"/>
  <c r="F66" i="12"/>
  <c r="F74" i="12" s="1"/>
  <c r="G99" i="12"/>
  <c r="Y97" i="12"/>
  <c r="Y99" i="12" s="1"/>
  <c r="C46" i="13"/>
  <c r="C47" i="13" s="1"/>
  <c r="H47" i="13"/>
  <c r="C100" i="13"/>
  <c r="T46" i="12"/>
  <c r="T47" i="12" s="1"/>
  <c r="R47" i="12"/>
  <c r="AO74" i="12"/>
  <c r="N46" i="12"/>
  <c r="N47" i="12" s="1"/>
  <c r="L47" i="12"/>
  <c r="P99" i="12"/>
  <c r="Z97" i="12"/>
  <c r="Z99" i="12" s="1"/>
  <c r="C96" i="12"/>
  <c r="D46" i="12"/>
  <c r="D47" i="12"/>
  <c r="AF33" i="12"/>
  <c r="AF42" i="12" s="1"/>
  <c r="AF46" i="12" s="1"/>
  <c r="AF47" i="12" s="1"/>
  <c r="P74" i="12"/>
  <c r="AB99" i="12"/>
  <c r="AA4" i="12"/>
  <c r="C39" i="12"/>
  <c r="H61" i="12"/>
  <c r="H66" i="12" s="1"/>
  <c r="H74" i="12" s="1"/>
  <c r="C88" i="12"/>
  <c r="C89" i="12" s="1"/>
  <c r="N96" i="12"/>
  <c r="N97" i="12" s="1"/>
  <c r="N99" i="12" s="1"/>
  <c r="C112" i="12"/>
  <c r="C125" i="12" s="1"/>
  <c r="C7" i="12"/>
  <c r="H96" i="12"/>
  <c r="H97" i="12" s="1"/>
  <c r="H99" i="12" s="1"/>
  <c r="I4" i="12"/>
  <c r="H31" i="12"/>
  <c r="L4" i="12"/>
  <c r="K21" i="12"/>
  <c r="C21" i="12" s="1"/>
  <c r="C70" i="12"/>
  <c r="O4" i="12"/>
  <c r="K40" i="12"/>
  <c r="U4" i="12"/>
  <c r="I130" i="10"/>
  <c r="F125" i="10"/>
  <c r="K22" i="12" l="1"/>
  <c r="K33" i="12" s="1"/>
  <c r="G100" i="12"/>
  <c r="G102" i="12" s="1"/>
  <c r="U100" i="12"/>
  <c r="Z42" i="12"/>
  <c r="Z46" i="12" s="1"/>
  <c r="Z47" i="12" s="1"/>
  <c r="Q73" i="12"/>
  <c r="Q74" i="12" s="1"/>
  <c r="Q100" i="12" s="1"/>
  <c r="C31" i="12"/>
  <c r="C61" i="12"/>
  <c r="C66" i="12" s="1"/>
  <c r="X100" i="12"/>
  <c r="N74" i="12"/>
  <c r="AC33" i="12"/>
  <c r="T100" i="12"/>
  <c r="C40" i="12"/>
  <c r="AB100" i="12"/>
  <c r="AB102" i="12" s="1"/>
  <c r="AH100" i="12"/>
  <c r="N100" i="12"/>
  <c r="Y100" i="12"/>
  <c r="Y102" i="12" s="1"/>
  <c r="J100" i="12"/>
  <c r="J102" i="12" s="1"/>
  <c r="F103" i="12" s="1"/>
  <c r="AF100" i="12"/>
  <c r="AC42" i="12"/>
  <c r="AC46" i="12" s="1"/>
  <c r="AC47" i="12" s="1"/>
  <c r="Q33" i="12"/>
  <c r="Q42" i="12" s="1"/>
  <c r="Q46" i="12" s="1"/>
  <c r="Q47" i="12" s="1"/>
  <c r="AL33" i="12"/>
  <c r="AL42" i="12" s="1"/>
  <c r="AL46" i="12" s="1"/>
  <c r="AL47" i="12" s="1"/>
  <c r="C73" i="12"/>
  <c r="AN100" i="12"/>
  <c r="AO42" i="12"/>
  <c r="AO46" i="12" s="1"/>
  <c r="AO47" i="12" s="1"/>
  <c r="AL100" i="12"/>
  <c r="H33" i="12"/>
  <c r="H42" i="12" s="1"/>
  <c r="H46" i="12" s="1"/>
  <c r="H47" i="12" s="1"/>
  <c r="P100" i="12"/>
  <c r="P102" i="12" s="1"/>
  <c r="K100" i="12"/>
  <c r="Z100" i="12"/>
  <c r="AO100" i="12"/>
  <c r="F100" i="12"/>
  <c r="H100" i="12"/>
  <c r="K42" i="12"/>
  <c r="K46" i="12" s="1"/>
  <c r="K47" i="12" s="1"/>
  <c r="C22" i="12"/>
  <c r="C33" i="12" s="1"/>
  <c r="C42" i="12" s="1"/>
  <c r="C97" i="12"/>
  <c r="C99" i="12" s="1"/>
  <c r="C74" i="12" l="1"/>
  <c r="C100" i="12"/>
  <c r="AO101" i="12"/>
  <c r="C46" i="12"/>
  <c r="C47" i="12" s="1"/>
  <c r="I83" i="11"/>
  <c r="I21" i="11"/>
  <c r="I71" i="11"/>
  <c r="D26" i="4" l="1"/>
  <c r="D15" i="4"/>
  <c r="D14" i="4"/>
  <c r="D13" i="4"/>
  <c r="D12" i="4"/>
  <c r="C53" i="1" l="1"/>
  <c r="D53" i="1"/>
  <c r="D79" i="1"/>
  <c r="AA130" i="11"/>
  <c r="X130" i="11"/>
  <c r="U130" i="11"/>
  <c r="R130" i="11"/>
  <c r="O130" i="11"/>
  <c r="L130" i="11"/>
  <c r="I130" i="11"/>
  <c r="C129" i="11"/>
  <c r="F123" i="11"/>
  <c r="C123" i="11" s="1"/>
  <c r="C122" i="11"/>
  <c r="C121" i="11"/>
  <c r="C120" i="11"/>
  <c r="C119" i="11"/>
  <c r="C118" i="11"/>
  <c r="C117" i="11"/>
  <c r="C116" i="11"/>
  <c r="C115" i="11"/>
  <c r="C114" i="11"/>
  <c r="C113" i="11"/>
  <c r="C112" i="11"/>
  <c r="C111" i="11"/>
  <c r="C110" i="11"/>
  <c r="C109" i="11"/>
  <c r="AN96" i="11"/>
  <c r="AM96" i="11"/>
  <c r="AK96" i="11"/>
  <c r="AK97" i="11" s="1"/>
  <c r="AJ96" i="11"/>
  <c r="AH96" i="11"/>
  <c r="AG96" i="11"/>
  <c r="AE96" i="11"/>
  <c r="AD96" i="11"/>
  <c r="AB96" i="11"/>
  <c r="AA96" i="11"/>
  <c r="Y96" i="11"/>
  <c r="Y97" i="11" s="1"/>
  <c r="X96" i="11"/>
  <c r="V96" i="11"/>
  <c r="U96" i="11"/>
  <c r="S96" i="11"/>
  <c r="R96" i="11"/>
  <c r="P96" i="11"/>
  <c r="O96" i="11"/>
  <c r="M96" i="11"/>
  <c r="L96" i="11"/>
  <c r="J96" i="11"/>
  <c r="I96" i="11"/>
  <c r="G96" i="11"/>
  <c r="F96" i="11"/>
  <c r="AO95" i="11"/>
  <c r="AL95" i="11"/>
  <c r="AI95" i="11"/>
  <c r="AF95" i="11"/>
  <c r="AC95" i="11"/>
  <c r="Z95" i="11"/>
  <c r="W95" i="11"/>
  <c r="T95" i="11"/>
  <c r="Q95" i="11"/>
  <c r="N95" i="11"/>
  <c r="K95" i="11"/>
  <c r="H95" i="11"/>
  <c r="AO94" i="11"/>
  <c r="AL94" i="11"/>
  <c r="AI94" i="11"/>
  <c r="AF94" i="11"/>
  <c r="AC94" i="11"/>
  <c r="Z94" i="11"/>
  <c r="W94" i="11"/>
  <c r="T94" i="11"/>
  <c r="Q94" i="11"/>
  <c r="N94" i="11"/>
  <c r="K94" i="11"/>
  <c r="H94" i="11"/>
  <c r="AO93" i="11"/>
  <c r="AL93" i="11"/>
  <c r="AI93" i="11"/>
  <c r="AF93" i="11"/>
  <c r="AC93" i="11"/>
  <c r="Z93" i="11"/>
  <c r="W93" i="11"/>
  <c r="T93" i="11"/>
  <c r="Q93" i="11"/>
  <c r="N93" i="11"/>
  <c r="K93" i="11"/>
  <c r="H93" i="11"/>
  <c r="AO92" i="11"/>
  <c r="AL92" i="11"/>
  <c r="AI92" i="11"/>
  <c r="AF92" i="11"/>
  <c r="AC92" i="11"/>
  <c r="Z92" i="11"/>
  <c r="W92" i="11"/>
  <c r="T92" i="11"/>
  <c r="T96" i="11" s="1"/>
  <c r="Q92" i="11"/>
  <c r="N92" i="11"/>
  <c r="K92" i="11"/>
  <c r="H92" i="11"/>
  <c r="AN89" i="11"/>
  <c r="AM89" i="11"/>
  <c r="AK89" i="11"/>
  <c r="AJ89" i="11"/>
  <c r="AH89" i="11"/>
  <c r="AH97" i="11" s="1"/>
  <c r="AG89" i="11"/>
  <c r="AG97" i="11" s="1"/>
  <c r="AE89" i="11"/>
  <c r="AD89" i="11"/>
  <c r="AD97" i="11" s="1"/>
  <c r="AB89" i="11"/>
  <c r="AA89" i="11"/>
  <c r="Y89" i="11"/>
  <c r="X89" i="11"/>
  <c r="X97" i="11" s="1"/>
  <c r="V89" i="11"/>
  <c r="V97" i="11" s="1"/>
  <c r="U89" i="11"/>
  <c r="U97" i="11" s="1"/>
  <c r="S89" i="11"/>
  <c r="R89" i="11"/>
  <c r="R97" i="11" s="1"/>
  <c r="P89" i="11"/>
  <c r="O89" i="11"/>
  <c r="M89" i="11"/>
  <c r="L89" i="11"/>
  <c r="J89" i="11"/>
  <c r="I89" i="11"/>
  <c r="G89" i="11"/>
  <c r="F89" i="11"/>
  <c r="AO88" i="11"/>
  <c r="AO89" i="11" s="1"/>
  <c r="AL88" i="11"/>
  <c r="AL89" i="11" s="1"/>
  <c r="AI88" i="11"/>
  <c r="AI89" i="11" s="1"/>
  <c r="AF88" i="11"/>
  <c r="AF89" i="11" s="1"/>
  <c r="AC88" i="11"/>
  <c r="AC89" i="11" s="1"/>
  <c r="Z88" i="11"/>
  <c r="Z89" i="11" s="1"/>
  <c r="W88" i="11"/>
  <c r="W89" i="11" s="1"/>
  <c r="T88" i="11"/>
  <c r="Q88" i="11"/>
  <c r="Q89" i="11" s="1"/>
  <c r="N88" i="11"/>
  <c r="N89" i="11" s="1"/>
  <c r="K88" i="11"/>
  <c r="K89" i="11" s="1"/>
  <c r="H88" i="11"/>
  <c r="H89" i="11" s="1"/>
  <c r="AO87" i="11"/>
  <c r="AL87" i="11"/>
  <c r="AI87" i="11"/>
  <c r="AF87" i="11"/>
  <c r="AC87" i="11"/>
  <c r="Z87" i="11"/>
  <c r="W87" i="11"/>
  <c r="T87" i="11"/>
  <c r="Q87" i="11"/>
  <c r="N87" i="11"/>
  <c r="K87" i="11"/>
  <c r="H87" i="11"/>
  <c r="AO86" i="11"/>
  <c r="AL86" i="11"/>
  <c r="AI86" i="11"/>
  <c r="AF86" i="11"/>
  <c r="AC86" i="11"/>
  <c r="Z86" i="11"/>
  <c r="W86" i="11"/>
  <c r="T86" i="11"/>
  <c r="Q86" i="11"/>
  <c r="N86" i="11"/>
  <c r="K86" i="11"/>
  <c r="H86" i="11"/>
  <c r="AN84" i="11"/>
  <c r="AM84" i="11"/>
  <c r="AK84" i="11"/>
  <c r="AJ84" i="11"/>
  <c r="AH84" i="11"/>
  <c r="AG84" i="11"/>
  <c r="AE84" i="11"/>
  <c r="AD84" i="11"/>
  <c r="AB84" i="11"/>
  <c r="AA84" i="11"/>
  <c r="Y84" i="11"/>
  <c r="X84" i="11"/>
  <c r="V84" i="11"/>
  <c r="U84" i="11"/>
  <c r="S84" i="11"/>
  <c r="R84" i="11"/>
  <c r="P84" i="11"/>
  <c r="O84" i="11"/>
  <c r="M84" i="11"/>
  <c r="L84" i="11"/>
  <c r="J84" i="11"/>
  <c r="I84" i="11"/>
  <c r="G84" i="11"/>
  <c r="F84" i="11"/>
  <c r="AO83" i="11"/>
  <c r="AO84" i="11" s="1"/>
  <c r="AL83" i="11"/>
  <c r="AL84" i="11" s="1"/>
  <c r="AI83" i="11"/>
  <c r="AI84" i="11" s="1"/>
  <c r="AF83" i="11"/>
  <c r="AF84" i="11" s="1"/>
  <c r="AC83" i="11"/>
  <c r="AC84" i="11" s="1"/>
  <c r="Z83" i="11"/>
  <c r="Z84" i="11" s="1"/>
  <c r="W83" i="11"/>
  <c r="W84" i="11" s="1"/>
  <c r="T83" i="11"/>
  <c r="T84" i="11" s="1"/>
  <c r="Q83" i="11"/>
  <c r="Q84" i="11" s="1"/>
  <c r="N83" i="11"/>
  <c r="N84" i="11" s="1"/>
  <c r="K83" i="11"/>
  <c r="H83" i="11"/>
  <c r="C81" i="11"/>
  <c r="AN73" i="11"/>
  <c r="AM73" i="11"/>
  <c r="AK73" i="11"/>
  <c r="AJ73" i="11"/>
  <c r="AH73" i="11"/>
  <c r="AG73" i="11"/>
  <c r="AE73" i="11"/>
  <c r="AD73" i="11"/>
  <c r="AB73" i="11"/>
  <c r="AA73" i="11"/>
  <c r="Y73" i="11"/>
  <c r="X73" i="11"/>
  <c r="V73" i="11"/>
  <c r="U73" i="11"/>
  <c r="S73" i="11"/>
  <c r="R73" i="11"/>
  <c r="P73" i="11"/>
  <c r="O73" i="11"/>
  <c r="M73" i="11"/>
  <c r="L73" i="11"/>
  <c r="J73" i="11"/>
  <c r="I73" i="11"/>
  <c r="G73" i="11"/>
  <c r="F73" i="11"/>
  <c r="AO72" i="11"/>
  <c r="AL72" i="11"/>
  <c r="AI72" i="11"/>
  <c r="AF72" i="11"/>
  <c r="AC72" i="11"/>
  <c r="Z72" i="11"/>
  <c r="W72" i="11"/>
  <c r="T72" i="11"/>
  <c r="Q72" i="11"/>
  <c r="N72" i="11"/>
  <c r="K72" i="11"/>
  <c r="H72" i="11"/>
  <c r="AO71" i="11"/>
  <c r="AL71" i="11"/>
  <c r="AI71" i="11"/>
  <c r="AF71" i="11"/>
  <c r="AC71" i="11"/>
  <c r="Z71" i="11"/>
  <c r="W71" i="11"/>
  <c r="T71" i="11"/>
  <c r="Q71" i="11"/>
  <c r="N71" i="11"/>
  <c r="K71" i="11"/>
  <c r="H71" i="11"/>
  <c r="AO70" i="11"/>
  <c r="AL70" i="11"/>
  <c r="AI70" i="11"/>
  <c r="AF70" i="11"/>
  <c r="AC70" i="11"/>
  <c r="Z70" i="11"/>
  <c r="W70" i="11"/>
  <c r="T70" i="11"/>
  <c r="Q70" i="11"/>
  <c r="N70" i="11"/>
  <c r="K70" i="11"/>
  <c r="H70" i="11"/>
  <c r="AO69" i="11"/>
  <c r="AL69" i="11"/>
  <c r="AI69" i="11"/>
  <c r="AF69" i="11"/>
  <c r="AC69" i="11"/>
  <c r="Z69" i="11"/>
  <c r="W69" i="11"/>
  <c r="T69" i="11"/>
  <c r="Q69" i="11"/>
  <c r="N69" i="11"/>
  <c r="K69" i="11"/>
  <c r="H69" i="11"/>
  <c r="AB66" i="11"/>
  <c r="AB74" i="11" s="1"/>
  <c r="AO65" i="11"/>
  <c r="AN65" i="11"/>
  <c r="AN66" i="11" s="1"/>
  <c r="AN74" i="11" s="1"/>
  <c r="AM65" i="11"/>
  <c r="AM66" i="11" s="1"/>
  <c r="AM74" i="11" s="1"/>
  <c r="AL65" i="11"/>
  <c r="AK65" i="11"/>
  <c r="AJ65" i="11"/>
  <c r="AI65" i="11"/>
  <c r="AH65" i="11"/>
  <c r="AG65" i="11"/>
  <c r="AF65" i="11"/>
  <c r="AE65" i="11"/>
  <c r="AD65" i="11"/>
  <c r="AC65" i="11"/>
  <c r="AB65" i="11"/>
  <c r="AA65" i="11"/>
  <c r="Z65" i="11"/>
  <c r="Y65" i="11"/>
  <c r="X65" i="11"/>
  <c r="W65" i="11"/>
  <c r="V65" i="11"/>
  <c r="U65" i="11"/>
  <c r="T65" i="11"/>
  <c r="S65" i="11"/>
  <c r="R65" i="11"/>
  <c r="Q65" i="11"/>
  <c r="P65" i="11"/>
  <c r="O65" i="11"/>
  <c r="N65" i="11"/>
  <c r="M65" i="11"/>
  <c r="L65" i="11"/>
  <c r="K65" i="11"/>
  <c r="J65" i="11"/>
  <c r="I65" i="11"/>
  <c r="G65" i="11"/>
  <c r="F65" i="11"/>
  <c r="H64" i="11"/>
  <c r="C64" i="11" s="1"/>
  <c r="C65" i="11" s="1"/>
  <c r="AN61" i="11"/>
  <c r="AM61" i="11"/>
  <c r="AK61" i="11"/>
  <c r="AJ61" i="11"/>
  <c r="AJ66" i="11" s="1"/>
  <c r="AJ74" i="11" s="1"/>
  <c r="AH61" i="11"/>
  <c r="AH66" i="11" s="1"/>
  <c r="AH74" i="11" s="1"/>
  <c r="AG61" i="11"/>
  <c r="AE61" i="11"/>
  <c r="AD61" i="11"/>
  <c r="AD66" i="11" s="1"/>
  <c r="AD74" i="11" s="1"/>
  <c r="AB61" i="11"/>
  <c r="AA61" i="11"/>
  <c r="Y61" i="11"/>
  <c r="X61" i="11"/>
  <c r="V61" i="11"/>
  <c r="U61" i="11"/>
  <c r="S61" i="11"/>
  <c r="R61" i="11"/>
  <c r="P61" i="11"/>
  <c r="P66" i="11" s="1"/>
  <c r="O61" i="11"/>
  <c r="M61" i="11"/>
  <c r="L61" i="11"/>
  <c r="L66" i="11" s="1"/>
  <c r="L74" i="11" s="1"/>
  <c r="J61" i="11"/>
  <c r="J66" i="11" s="1"/>
  <c r="I61" i="11"/>
  <c r="G61" i="11"/>
  <c r="G66" i="11" s="1"/>
  <c r="G74" i="11" s="1"/>
  <c r="F61" i="11"/>
  <c r="F66" i="11" s="1"/>
  <c r="F74" i="11" s="1"/>
  <c r="AO60" i="11"/>
  <c r="AL60" i="11"/>
  <c r="AI60" i="11"/>
  <c r="AF60" i="11"/>
  <c r="AC60" i="11"/>
  <c r="Z60" i="11"/>
  <c r="W60" i="11"/>
  <c r="T60" i="11"/>
  <c r="Q60" i="11"/>
  <c r="N60" i="11"/>
  <c r="K60" i="11"/>
  <c r="H60" i="11"/>
  <c r="AO59" i="11"/>
  <c r="AL59" i="11"/>
  <c r="AI59" i="11"/>
  <c r="AF59" i="11"/>
  <c r="AF61" i="11" s="1"/>
  <c r="AF66" i="11" s="1"/>
  <c r="AC59" i="11"/>
  <c r="Z59" i="11"/>
  <c r="Z61" i="11" s="1"/>
  <c r="Z66" i="11" s="1"/>
  <c r="W59" i="11"/>
  <c r="T59" i="11"/>
  <c r="Q59" i="11"/>
  <c r="N59" i="11"/>
  <c r="K59" i="11"/>
  <c r="K61" i="11" s="1"/>
  <c r="K66" i="11" s="1"/>
  <c r="H59" i="11"/>
  <c r="C53" i="11"/>
  <c r="A50" i="11"/>
  <c r="AO41" i="11"/>
  <c r="AL41" i="11"/>
  <c r="AI41" i="11"/>
  <c r="AF41" i="11"/>
  <c r="AC41" i="11"/>
  <c r="Z41" i="11"/>
  <c r="W41" i="11"/>
  <c r="T41" i="11"/>
  <c r="Q41" i="11"/>
  <c r="N41" i="11"/>
  <c r="K41" i="11"/>
  <c r="H41" i="11"/>
  <c r="AN40" i="11"/>
  <c r="AM40" i="11"/>
  <c r="AK40" i="11"/>
  <c r="AJ40" i="11"/>
  <c r="AH40" i="11"/>
  <c r="AG40" i="11"/>
  <c r="AE40" i="11"/>
  <c r="AD40" i="11"/>
  <c r="AB40" i="11"/>
  <c r="AA40" i="11"/>
  <c r="Y40" i="11"/>
  <c r="X40" i="11"/>
  <c r="V40" i="11"/>
  <c r="U40" i="11"/>
  <c r="S40" i="11"/>
  <c r="R40" i="11"/>
  <c r="P40" i="11"/>
  <c r="O40" i="11"/>
  <c r="M40" i="11"/>
  <c r="L40" i="11"/>
  <c r="J40" i="11"/>
  <c r="I40" i="11"/>
  <c r="G40" i="11"/>
  <c r="F40" i="11"/>
  <c r="D40" i="11"/>
  <c r="AO39" i="11"/>
  <c r="AL39" i="11"/>
  <c r="AI39" i="11"/>
  <c r="AF39" i="11"/>
  <c r="AC39" i="11"/>
  <c r="Z39" i="11"/>
  <c r="W39" i="11"/>
  <c r="T39" i="11"/>
  <c r="Q39" i="11"/>
  <c r="N39" i="11"/>
  <c r="K39" i="11"/>
  <c r="H39" i="11"/>
  <c r="AO38" i="11"/>
  <c r="AL38" i="11"/>
  <c r="AI38" i="11"/>
  <c r="AF38" i="11"/>
  <c r="AC38" i="11"/>
  <c r="AC40" i="11" s="1"/>
  <c r="Z38" i="11"/>
  <c r="W38" i="11"/>
  <c r="T38" i="11"/>
  <c r="Q38" i="11"/>
  <c r="N38" i="11"/>
  <c r="K38" i="11"/>
  <c r="H38" i="11"/>
  <c r="AO37" i="11"/>
  <c r="AL37" i="11"/>
  <c r="AI37" i="11"/>
  <c r="AF37" i="11"/>
  <c r="AC37" i="11"/>
  <c r="Z37" i="11"/>
  <c r="W37" i="11"/>
  <c r="T37" i="11"/>
  <c r="Q37" i="11"/>
  <c r="N37" i="11"/>
  <c r="K37" i="11"/>
  <c r="H37" i="11"/>
  <c r="AN33" i="11"/>
  <c r="AN42" i="11" s="1"/>
  <c r="AN46" i="11" s="1"/>
  <c r="AN47" i="11" s="1"/>
  <c r="L33" i="11"/>
  <c r="L42" i="11" s="1"/>
  <c r="L46" i="11" s="1"/>
  <c r="AO32" i="11"/>
  <c r="AL32" i="11"/>
  <c r="AI32" i="11"/>
  <c r="AF32" i="11"/>
  <c r="AC32" i="11"/>
  <c r="Z32" i="11"/>
  <c r="W32" i="11"/>
  <c r="T32" i="11"/>
  <c r="Q32" i="11"/>
  <c r="N32" i="11"/>
  <c r="K32" i="11"/>
  <c r="H32" i="11"/>
  <c r="AN31" i="11"/>
  <c r="AM31" i="11"/>
  <c r="AK31" i="11"/>
  <c r="AJ31" i="11"/>
  <c r="AH31" i="11"/>
  <c r="AG31" i="11"/>
  <c r="AE31" i="11"/>
  <c r="AD31" i="11"/>
  <c r="AB31" i="11"/>
  <c r="AA31" i="11"/>
  <c r="Y31" i="11"/>
  <c r="X31" i="11"/>
  <c r="V31" i="11"/>
  <c r="U31" i="11"/>
  <c r="S31" i="11"/>
  <c r="R31" i="11"/>
  <c r="P31" i="11"/>
  <c r="O31" i="11"/>
  <c r="M31" i="11"/>
  <c r="L31" i="11"/>
  <c r="J31" i="11"/>
  <c r="I31" i="11"/>
  <c r="G31" i="11"/>
  <c r="F31" i="11"/>
  <c r="D31" i="11"/>
  <c r="AO30" i="11"/>
  <c r="AL30" i="11"/>
  <c r="AI30" i="11"/>
  <c r="AF30" i="11"/>
  <c r="AC30" i="11"/>
  <c r="Z30" i="11"/>
  <c r="W30" i="11"/>
  <c r="T30" i="11"/>
  <c r="Q30" i="11"/>
  <c r="N30" i="11"/>
  <c r="K30" i="11"/>
  <c r="H30" i="11"/>
  <c r="AO29" i="11"/>
  <c r="AL29" i="11"/>
  <c r="AI29" i="11"/>
  <c r="AF29" i="11"/>
  <c r="AC29" i="11"/>
  <c r="Z29" i="11"/>
  <c r="W29" i="11"/>
  <c r="T29" i="11"/>
  <c r="Q29" i="11"/>
  <c r="N29" i="11"/>
  <c r="K29" i="11"/>
  <c r="H29" i="11"/>
  <c r="AO28" i="11"/>
  <c r="AL28" i="11"/>
  <c r="AI28" i="11"/>
  <c r="AF28" i="11"/>
  <c r="AC28" i="11"/>
  <c r="Z28" i="11"/>
  <c r="W28" i="11"/>
  <c r="T28" i="11"/>
  <c r="Q28" i="11"/>
  <c r="N28" i="11"/>
  <c r="K28" i="11"/>
  <c r="H28" i="11"/>
  <c r="AO27" i="11"/>
  <c r="AL27" i="11"/>
  <c r="AI27" i="11"/>
  <c r="AF27" i="11"/>
  <c r="AC27" i="11"/>
  <c r="Z27" i="11"/>
  <c r="W27" i="11"/>
  <c r="T27" i="11"/>
  <c r="Q27" i="11"/>
  <c r="N27" i="11"/>
  <c r="K27" i="11"/>
  <c r="H27" i="11"/>
  <c r="AO26" i="11"/>
  <c r="AL26" i="11"/>
  <c r="AI26" i="11"/>
  <c r="AF26" i="11"/>
  <c r="AC26" i="11"/>
  <c r="Z26" i="11"/>
  <c r="W26" i="11"/>
  <c r="T26" i="11"/>
  <c r="Q26" i="11"/>
  <c r="N26" i="11"/>
  <c r="K26" i="11"/>
  <c r="H26" i="11"/>
  <c r="AN22" i="11"/>
  <c r="AM22" i="11"/>
  <c r="AK22" i="11"/>
  <c r="AJ22" i="11"/>
  <c r="AH22" i="11"/>
  <c r="AH33" i="11" s="1"/>
  <c r="AG22" i="11"/>
  <c r="AE22" i="11"/>
  <c r="AD22" i="11"/>
  <c r="AB22" i="11"/>
  <c r="AA22" i="11"/>
  <c r="Y22" i="11"/>
  <c r="X22" i="11"/>
  <c r="X33" i="11" s="1"/>
  <c r="X42" i="11" s="1"/>
  <c r="X46" i="11" s="1"/>
  <c r="X47" i="11" s="1"/>
  <c r="V22" i="11"/>
  <c r="V33" i="11" s="1"/>
  <c r="V42" i="11" s="1"/>
  <c r="V46" i="11" s="1"/>
  <c r="V47" i="11" s="1"/>
  <c r="U22" i="11"/>
  <c r="S22" i="11"/>
  <c r="R22" i="11"/>
  <c r="P22" i="11"/>
  <c r="O22" i="11"/>
  <c r="M22" i="11"/>
  <c r="L22" i="11"/>
  <c r="J22" i="11"/>
  <c r="J33" i="11" s="1"/>
  <c r="I22" i="11"/>
  <c r="G22" i="11"/>
  <c r="G33" i="11" s="1"/>
  <c r="F22" i="11"/>
  <c r="D22" i="11"/>
  <c r="AO21" i="11"/>
  <c r="AL21" i="11"/>
  <c r="AI21" i="11"/>
  <c r="AF21" i="11"/>
  <c r="AC21" i="11"/>
  <c r="Z21" i="11"/>
  <c r="W21" i="11"/>
  <c r="T21" i="11"/>
  <c r="Q21" i="11"/>
  <c r="N21" i="11"/>
  <c r="K21" i="11"/>
  <c r="H21" i="11"/>
  <c r="AO20" i="11"/>
  <c r="AL20" i="11"/>
  <c r="AI20" i="11"/>
  <c r="AF20" i="11"/>
  <c r="AC20" i="11"/>
  <c r="Z20" i="11"/>
  <c r="W20" i="11"/>
  <c r="T20" i="11"/>
  <c r="Q20" i="11"/>
  <c r="N20" i="11"/>
  <c r="K20" i="11"/>
  <c r="H20" i="11"/>
  <c r="AO19" i="11"/>
  <c r="AL19" i="11"/>
  <c r="AI19" i="11"/>
  <c r="AF19" i="11"/>
  <c r="AC19" i="11"/>
  <c r="Z19" i="11"/>
  <c r="W19" i="11"/>
  <c r="T19" i="11"/>
  <c r="Q19" i="11"/>
  <c r="N19" i="11"/>
  <c r="K19" i="11"/>
  <c r="H19" i="11"/>
  <c r="AO18" i="11"/>
  <c r="AL18" i="11"/>
  <c r="AI18" i="11"/>
  <c r="AF18" i="11"/>
  <c r="AC18" i="11"/>
  <c r="Z18" i="11"/>
  <c r="W18" i="11"/>
  <c r="T18" i="11"/>
  <c r="Q18" i="11"/>
  <c r="N18" i="11"/>
  <c r="K18" i="11"/>
  <c r="H18" i="11"/>
  <c r="AO17" i="11"/>
  <c r="AL17" i="11"/>
  <c r="AI17" i="11"/>
  <c r="AF17" i="11"/>
  <c r="AC17" i="11"/>
  <c r="Z17" i="11"/>
  <c r="W17" i="11"/>
  <c r="T17" i="11"/>
  <c r="Q17" i="11"/>
  <c r="N17" i="11"/>
  <c r="K17" i="11"/>
  <c r="H17" i="11"/>
  <c r="AO16" i="11"/>
  <c r="AL16" i="11"/>
  <c r="AI16" i="11"/>
  <c r="AF16" i="11"/>
  <c r="AC16" i="11"/>
  <c r="Z16" i="11"/>
  <c r="W16" i="11"/>
  <c r="T16" i="11"/>
  <c r="Q16" i="11"/>
  <c r="N16" i="11"/>
  <c r="K16" i="11"/>
  <c r="H16" i="11"/>
  <c r="AO15" i="11"/>
  <c r="AL15" i="11"/>
  <c r="AI15" i="11"/>
  <c r="AF15" i="11"/>
  <c r="AC15" i="11"/>
  <c r="Z15" i="11"/>
  <c r="W15" i="11"/>
  <c r="T15" i="11"/>
  <c r="Q15" i="11"/>
  <c r="N15" i="11"/>
  <c r="K15" i="11"/>
  <c r="H15" i="11"/>
  <c r="AO14" i="11"/>
  <c r="AL14" i="11"/>
  <c r="AI14" i="11"/>
  <c r="AF14" i="11"/>
  <c r="AC14" i="11"/>
  <c r="Z14" i="11"/>
  <c r="W14" i="11"/>
  <c r="T14" i="11"/>
  <c r="Q14" i="11"/>
  <c r="N14" i="11"/>
  <c r="K14" i="11"/>
  <c r="H14" i="11"/>
  <c r="AO13" i="11"/>
  <c r="AL13" i="11"/>
  <c r="AI13" i="11"/>
  <c r="AF13" i="11"/>
  <c r="AC13" i="11"/>
  <c r="Z13" i="11"/>
  <c r="W13" i="11"/>
  <c r="T13" i="11"/>
  <c r="Q13" i="11"/>
  <c r="N13" i="11"/>
  <c r="K13" i="11"/>
  <c r="H13" i="11"/>
  <c r="AC12" i="11"/>
  <c r="Z12" i="11"/>
  <c r="W12" i="11"/>
  <c r="T12" i="11"/>
  <c r="Q12" i="11"/>
  <c r="N12" i="11"/>
  <c r="K12" i="11"/>
  <c r="H12" i="11"/>
  <c r="C12" i="11" s="1"/>
  <c r="AO11" i="11"/>
  <c r="AL11" i="11"/>
  <c r="AI11" i="11"/>
  <c r="AF11" i="11"/>
  <c r="AC11" i="11"/>
  <c r="Z11" i="11"/>
  <c r="W11" i="11"/>
  <c r="T11" i="11"/>
  <c r="Q11" i="11"/>
  <c r="N11" i="11"/>
  <c r="K11" i="11"/>
  <c r="H11" i="11"/>
  <c r="AC10" i="11"/>
  <c r="Z10" i="11"/>
  <c r="W10" i="11"/>
  <c r="T10" i="11"/>
  <c r="Q10" i="11"/>
  <c r="N10" i="11"/>
  <c r="K10" i="11"/>
  <c r="H10" i="11"/>
  <c r="AC9" i="11"/>
  <c r="Z9" i="11"/>
  <c r="W9" i="11"/>
  <c r="T9" i="11"/>
  <c r="Q9" i="11"/>
  <c r="N9" i="11"/>
  <c r="K9" i="11"/>
  <c r="H9" i="11"/>
  <c r="AC8" i="11"/>
  <c r="Z8" i="11"/>
  <c r="W8" i="11"/>
  <c r="T8" i="11"/>
  <c r="Q8" i="11"/>
  <c r="N8" i="11"/>
  <c r="K8" i="11"/>
  <c r="H8" i="11"/>
  <c r="AO7" i="11"/>
  <c r="AL7" i="11"/>
  <c r="AI7" i="11"/>
  <c r="AF7" i="11"/>
  <c r="AC7" i="11"/>
  <c r="Z7" i="11"/>
  <c r="W7" i="11"/>
  <c r="T7" i="11"/>
  <c r="Q7" i="11"/>
  <c r="N7" i="11"/>
  <c r="K7" i="11"/>
  <c r="H7" i="11"/>
  <c r="F4" i="11"/>
  <c r="I4" i="11" s="1"/>
  <c r="Y99" i="11" l="1"/>
  <c r="AK66" i="11"/>
  <c r="C59" i="11"/>
  <c r="AM33" i="11"/>
  <c r="AM42" i="11" s="1"/>
  <c r="AM46" i="11" s="1"/>
  <c r="AM47" i="11" s="1"/>
  <c r="T40" i="11"/>
  <c r="AI61" i="11"/>
  <c r="N73" i="11"/>
  <c r="AL96" i="11"/>
  <c r="AC96" i="11"/>
  <c r="R66" i="11"/>
  <c r="H65" i="11"/>
  <c r="AH99" i="11"/>
  <c r="AH100" i="11" s="1"/>
  <c r="AE97" i="11"/>
  <c r="AE99" i="11" s="1"/>
  <c r="AE100" i="11" s="1"/>
  <c r="O33" i="11"/>
  <c r="O42" i="11" s="1"/>
  <c r="O46" i="11" s="1"/>
  <c r="O47" i="11" s="1"/>
  <c r="I66" i="11"/>
  <c r="I74" i="11" s="1"/>
  <c r="T22" i="11"/>
  <c r="U66" i="11"/>
  <c r="U74" i="11" s="1"/>
  <c r="U100" i="11" s="1"/>
  <c r="G97" i="11"/>
  <c r="G99" i="11" s="1"/>
  <c r="G100" i="11" s="1"/>
  <c r="G102" i="11" s="1"/>
  <c r="Z22" i="11"/>
  <c r="Z33" i="11" s="1"/>
  <c r="Z42" i="11" s="1"/>
  <c r="Z46" i="11" s="1"/>
  <c r="Z47" i="11" s="1"/>
  <c r="V66" i="11"/>
  <c r="AF73" i="11"/>
  <c r="AA33" i="11"/>
  <c r="AA42" i="11" s="1"/>
  <c r="AA46" i="11" s="1"/>
  <c r="AA47" i="11" s="1"/>
  <c r="AO40" i="11"/>
  <c r="T61" i="11"/>
  <c r="T66" i="11" s="1"/>
  <c r="AI73" i="11"/>
  <c r="C38" i="11"/>
  <c r="W61" i="11"/>
  <c r="Y66" i="11"/>
  <c r="Y74" i="11" s="1"/>
  <c r="AF22" i="11"/>
  <c r="AD33" i="11"/>
  <c r="AD42" i="11" s="1"/>
  <c r="AD46" i="11" s="1"/>
  <c r="AD47" i="11" s="1"/>
  <c r="AM97" i="11"/>
  <c r="AM99" i="11" s="1"/>
  <c r="AM100" i="11" s="1"/>
  <c r="AE33" i="11"/>
  <c r="AE42" i="11" s="1"/>
  <c r="AE46" i="11" s="1"/>
  <c r="AE47" i="11" s="1"/>
  <c r="M97" i="11"/>
  <c r="M99" i="11" s="1"/>
  <c r="AN97" i="11"/>
  <c r="Q22" i="11"/>
  <c r="AG33" i="11"/>
  <c r="AG42" i="11" s="1"/>
  <c r="AG46" i="11" s="1"/>
  <c r="AG47" i="11" s="1"/>
  <c r="AL31" i="11"/>
  <c r="Y100" i="11"/>
  <c r="Y102" i="11" s="1"/>
  <c r="C39" i="11"/>
  <c r="C71" i="11"/>
  <c r="C29" i="11"/>
  <c r="Q40" i="11"/>
  <c r="F97" i="11"/>
  <c r="Z31" i="11"/>
  <c r="AC61" i="11"/>
  <c r="AC66" i="11" s="1"/>
  <c r="AC74" i="11" s="1"/>
  <c r="N96" i="11"/>
  <c r="N97" i="11" s="1"/>
  <c r="N99" i="11" s="1"/>
  <c r="Z96" i="11"/>
  <c r="Z97" i="11" s="1"/>
  <c r="Z99" i="11" s="1"/>
  <c r="I97" i="11"/>
  <c r="I99" i="11" s="1"/>
  <c r="AC31" i="11"/>
  <c r="AO31" i="11"/>
  <c r="AD99" i="11"/>
  <c r="AD100" i="11" s="1"/>
  <c r="J97" i="11"/>
  <c r="J99" i="11" s="1"/>
  <c r="J100" i="11" s="1"/>
  <c r="J102" i="11" s="1"/>
  <c r="AF31" i="11"/>
  <c r="AF33" i="11" s="1"/>
  <c r="AF42" i="11" s="1"/>
  <c r="AF46" i="11" s="1"/>
  <c r="AF47" i="11" s="1"/>
  <c r="C125" i="11"/>
  <c r="AI31" i="11"/>
  <c r="C60" i="11"/>
  <c r="C61" i="11" s="1"/>
  <c r="C66" i="11" s="1"/>
  <c r="M66" i="11"/>
  <c r="M74" i="11" s="1"/>
  <c r="AG99" i="11"/>
  <c r="W96" i="11"/>
  <c r="W97" i="11" s="1"/>
  <c r="W99" i="11" s="1"/>
  <c r="C95" i="11"/>
  <c r="C17" i="11"/>
  <c r="K40" i="11"/>
  <c r="AE66" i="11"/>
  <c r="AE74" i="11" s="1"/>
  <c r="J42" i="11"/>
  <c r="J46" i="11" s="1"/>
  <c r="J47" i="11" s="1"/>
  <c r="C21" i="11"/>
  <c r="AH42" i="11"/>
  <c r="AH46" i="11" s="1"/>
  <c r="AH47" i="11" s="1"/>
  <c r="H61" i="11"/>
  <c r="H66" i="11" s="1"/>
  <c r="P74" i="11"/>
  <c r="AK99" i="11"/>
  <c r="C28" i="11"/>
  <c r="AL40" i="11"/>
  <c r="AK74" i="11"/>
  <c r="AK100" i="11" s="1"/>
  <c r="AG66" i="11"/>
  <c r="AG74" i="11" s="1"/>
  <c r="AF96" i="11"/>
  <c r="AF97" i="11" s="1"/>
  <c r="AF99" i="11" s="1"/>
  <c r="AL73" i="11"/>
  <c r="AI96" i="11"/>
  <c r="AI97" i="11" s="1"/>
  <c r="AI99" i="11" s="1"/>
  <c r="C94" i="11"/>
  <c r="N31" i="11"/>
  <c r="W40" i="11"/>
  <c r="S66" i="11"/>
  <c r="S74" i="11" s="1"/>
  <c r="AC73" i="11"/>
  <c r="J74" i="11"/>
  <c r="R99" i="11"/>
  <c r="O97" i="11"/>
  <c r="C20" i="11"/>
  <c r="R33" i="11"/>
  <c r="R42" i="11" s="1"/>
  <c r="R46" i="11" s="1"/>
  <c r="R47" i="11" s="1"/>
  <c r="Q31" i="11"/>
  <c r="Z40" i="11"/>
  <c r="P97" i="11"/>
  <c r="P99" i="11" s="1"/>
  <c r="AO22" i="11"/>
  <c r="AO33" i="11" s="1"/>
  <c r="AO42" i="11" s="1"/>
  <c r="AO46" i="11" s="1"/>
  <c r="AO47" i="11" s="1"/>
  <c r="F33" i="11"/>
  <c r="F42" i="11" s="1"/>
  <c r="F46" i="11" s="1"/>
  <c r="F47" i="11" s="1"/>
  <c r="S33" i="11"/>
  <c r="S42" i="11" s="1"/>
  <c r="S46" i="11" s="1"/>
  <c r="S47" i="11" s="1"/>
  <c r="H31" i="11"/>
  <c r="V74" i="11"/>
  <c r="W73" i="11"/>
  <c r="AC22" i="11"/>
  <c r="AJ33" i="11"/>
  <c r="AJ42" i="11" s="1"/>
  <c r="AJ46" i="11" s="1"/>
  <c r="AJ47" i="11" s="1"/>
  <c r="AL61" i="11"/>
  <c r="AL66" i="11" s="1"/>
  <c r="X66" i="11"/>
  <c r="X74" i="11" s="1"/>
  <c r="X100" i="11" s="1"/>
  <c r="K84" i="11"/>
  <c r="K73" i="11"/>
  <c r="K74" i="11" s="1"/>
  <c r="C14" i="11"/>
  <c r="C18" i="11"/>
  <c r="C70" i="11"/>
  <c r="C30" i="11"/>
  <c r="K31" i="11"/>
  <c r="I33" i="11"/>
  <c r="I42" i="11" s="1"/>
  <c r="I46" i="11" s="1"/>
  <c r="I47" i="11" s="1"/>
  <c r="C7" i="11"/>
  <c r="C9" i="11"/>
  <c r="L47" i="11"/>
  <c r="F100" i="11"/>
  <c r="AC33" i="11"/>
  <c r="AC42" i="11" s="1"/>
  <c r="AC46" i="11" s="1"/>
  <c r="AC47" i="11" s="1"/>
  <c r="T33" i="11"/>
  <c r="T42" i="11" s="1"/>
  <c r="C26" i="11"/>
  <c r="U99" i="11"/>
  <c r="AF74" i="11"/>
  <c r="W22" i="11"/>
  <c r="C11" i="11"/>
  <c r="C37" i="11"/>
  <c r="C40" i="11" s="1"/>
  <c r="F99" i="11"/>
  <c r="AL97" i="11"/>
  <c r="AL99" i="11" s="1"/>
  <c r="AI22" i="11"/>
  <c r="Q97" i="11"/>
  <c r="Q99" i="11" s="1"/>
  <c r="H84" i="11"/>
  <c r="H99" i="11" s="1"/>
  <c r="C83" i="11"/>
  <c r="C84" i="11" s="1"/>
  <c r="V99" i="11"/>
  <c r="AN99" i="11"/>
  <c r="AN100" i="11" s="1"/>
  <c r="N40" i="11"/>
  <c r="AI66" i="11"/>
  <c r="AI74" i="11" s="1"/>
  <c r="Q73" i="11"/>
  <c r="AO73" i="11"/>
  <c r="AC97" i="11"/>
  <c r="AC99" i="11" s="1"/>
  <c r="AC100" i="11" s="1"/>
  <c r="T89" i="11"/>
  <c r="T97" i="11" s="1"/>
  <c r="T99" i="11" s="1"/>
  <c r="C88" i="11"/>
  <c r="C89" i="11" s="1"/>
  <c r="C13" i="11"/>
  <c r="Y33" i="11"/>
  <c r="Y42" i="11" s="1"/>
  <c r="Y46" i="11" s="1"/>
  <c r="Y47" i="11" s="1"/>
  <c r="N22" i="11"/>
  <c r="N33" i="11" s="1"/>
  <c r="P33" i="11"/>
  <c r="P42" i="11" s="1"/>
  <c r="P46" i="11" s="1"/>
  <c r="P47" i="11" s="1"/>
  <c r="C15" i="11"/>
  <c r="G42" i="11"/>
  <c r="G46" i="11" s="1"/>
  <c r="G47" i="11" s="1"/>
  <c r="C8" i="11"/>
  <c r="C19" i="11"/>
  <c r="H22" i="11"/>
  <c r="AB33" i="11"/>
  <c r="AB42" i="11" s="1"/>
  <c r="AB46" i="11" s="1"/>
  <c r="AB47" i="11" s="1"/>
  <c r="AK33" i="11"/>
  <c r="AK42" i="11" s="1"/>
  <c r="AK46" i="11" s="1"/>
  <c r="AK47" i="11" s="1"/>
  <c r="T31" i="11"/>
  <c r="N61" i="11"/>
  <c r="N66" i="11" s="1"/>
  <c r="N74" i="11" s="1"/>
  <c r="W66" i="11"/>
  <c r="O66" i="11"/>
  <c r="O74" i="11" s="1"/>
  <c r="T73" i="11"/>
  <c r="T74" i="11" s="1"/>
  <c r="T100" i="11" s="1"/>
  <c r="O99" i="11"/>
  <c r="X99" i="11"/>
  <c r="C93" i="11"/>
  <c r="K96" i="11"/>
  <c r="K97" i="11" s="1"/>
  <c r="K99" i="11" s="1"/>
  <c r="C69" i="11"/>
  <c r="H73" i="11"/>
  <c r="C92" i="11"/>
  <c r="H96" i="11"/>
  <c r="H97" i="11" s="1"/>
  <c r="AL22" i="11"/>
  <c r="K22" i="11"/>
  <c r="AI40" i="11"/>
  <c r="C10" i="11"/>
  <c r="C16" i="11"/>
  <c r="U33" i="11"/>
  <c r="U42" i="11" s="1"/>
  <c r="U46" i="11" s="1"/>
  <c r="U47" i="11" s="1"/>
  <c r="C27" i="11"/>
  <c r="R74" i="11"/>
  <c r="R100" i="11" s="1"/>
  <c r="AA66" i="11"/>
  <c r="AA74" i="11" s="1"/>
  <c r="Z73" i="11"/>
  <c r="Z74" i="11" s="1"/>
  <c r="C72" i="11"/>
  <c r="S97" i="11"/>
  <c r="S99" i="11" s="1"/>
  <c r="S100" i="11" s="1"/>
  <c r="S102" i="11" s="1"/>
  <c r="AB97" i="11"/>
  <c r="AB99" i="11" s="1"/>
  <c r="AB100" i="11" s="1"/>
  <c r="AB102" i="11" s="1"/>
  <c r="AJ97" i="11"/>
  <c r="AJ99" i="11" s="1"/>
  <c r="AJ100" i="11" s="1"/>
  <c r="Q96" i="11"/>
  <c r="AO96" i="11"/>
  <c r="AO97" i="11" s="1"/>
  <c r="AO99" i="11" s="1"/>
  <c r="M33" i="11"/>
  <c r="M42" i="11" s="1"/>
  <c r="M46" i="11" s="1"/>
  <c r="M47" i="11" s="1"/>
  <c r="W31" i="11"/>
  <c r="L97" i="11"/>
  <c r="L99" i="11" s="1"/>
  <c r="L100" i="11" s="1"/>
  <c r="H40" i="11"/>
  <c r="AF40" i="11"/>
  <c r="Q61" i="11"/>
  <c r="Q66" i="11" s="1"/>
  <c r="AO61" i="11"/>
  <c r="AO66" i="11" s="1"/>
  <c r="AA97" i="11"/>
  <c r="AA99" i="11" s="1"/>
  <c r="D33" i="11"/>
  <c r="D42" i="11" s="1"/>
  <c r="M100" i="11" l="1"/>
  <c r="M102" i="11" s="1"/>
  <c r="AG100" i="11"/>
  <c r="H33" i="11"/>
  <c r="Q33" i="11"/>
  <c r="Q42" i="11" s="1"/>
  <c r="Q46" i="11" s="1"/>
  <c r="Q47" i="11" s="1"/>
  <c r="AI33" i="11"/>
  <c r="I100" i="11"/>
  <c r="V100" i="11"/>
  <c r="V102" i="11" s="1"/>
  <c r="AL33" i="11"/>
  <c r="AL42" i="11" s="1"/>
  <c r="AL46" i="11" s="1"/>
  <c r="AL47" i="11" s="1"/>
  <c r="H74" i="11"/>
  <c r="W74" i="11"/>
  <c r="AL74" i="11"/>
  <c r="AL100" i="11" s="1"/>
  <c r="AO74" i="11"/>
  <c r="P100" i="11"/>
  <c r="P102" i="11" s="1"/>
  <c r="O100" i="11"/>
  <c r="N100" i="11"/>
  <c r="T46" i="11"/>
  <c r="T47" i="11" s="1"/>
  <c r="H42" i="11"/>
  <c r="H46" i="11" s="1"/>
  <c r="H47" i="11" s="1"/>
  <c r="AF100" i="11"/>
  <c r="H100" i="11"/>
  <c r="W100" i="11"/>
  <c r="AI100" i="11"/>
  <c r="Z100" i="11"/>
  <c r="K100" i="11"/>
  <c r="K33" i="11"/>
  <c r="K42" i="11" s="1"/>
  <c r="K46" i="11" s="1"/>
  <c r="K47" i="11" s="1"/>
  <c r="C73" i="11"/>
  <c r="C74" i="11"/>
  <c r="C22" i="11"/>
  <c r="Q74" i="11"/>
  <c r="Q100" i="11" s="1"/>
  <c r="AI42" i="11"/>
  <c r="AI46" i="11" s="1"/>
  <c r="AI47" i="11" s="1"/>
  <c r="C96" i="11"/>
  <c r="C97" i="11" s="1"/>
  <c r="C99" i="11" s="1"/>
  <c r="AA100" i="11"/>
  <c r="W33" i="11"/>
  <c r="W42" i="11" s="1"/>
  <c r="W46" i="11" s="1"/>
  <c r="W47" i="11" s="1"/>
  <c r="D46" i="11"/>
  <c r="D47" i="11"/>
  <c r="C31" i="11"/>
  <c r="N46" i="11"/>
  <c r="N47" i="11" s="1"/>
  <c r="AO100" i="11"/>
  <c r="F103" i="11"/>
  <c r="N42" i="11"/>
  <c r="D46" i="1"/>
  <c r="D101" i="1"/>
  <c r="D94" i="1"/>
  <c r="D89" i="1"/>
  <c r="D74" i="1"/>
  <c r="D61" i="1"/>
  <c r="D67" i="1" s="1"/>
  <c r="D39" i="1"/>
  <c r="D30" i="1"/>
  <c r="D21" i="1"/>
  <c r="D32" i="1" l="1"/>
  <c r="D41" i="1" s="1"/>
  <c r="AO101" i="11"/>
  <c r="C100" i="11"/>
  <c r="C33" i="11"/>
  <c r="C42" i="11" s="1"/>
  <c r="D102" i="1"/>
  <c r="D104" i="1" s="1"/>
  <c r="D75" i="1"/>
  <c r="C46" i="11"/>
  <c r="C47" i="11" s="1"/>
  <c r="G104" i="1" l="1"/>
  <c r="C109" i="10"/>
  <c r="AA130" i="10"/>
  <c r="X130" i="10"/>
  <c r="U130" i="10"/>
  <c r="R130" i="10"/>
  <c r="O130" i="10"/>
  <c r="L130" i="10"/>
  <c r="C110" i="10"/>
  <c r="S96" i="10" l="1"/>
  <c r="C129" i="9" l="1"/>
  <c r="C123" i="9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AN96" i="9"/>
  <c r="AM96" i="9"/>
  <c r="AK96" i="9"/>
  <c r="AJ96" i="9"/>
  <c r="AH96" i="9"/>
  <c r="AG96" i="9"/>
  <c r="AE96" i="9"/>
  <c r="AD96" i="9"/>
  <c r="AA96" i="9"/>
  <c r="Y96" i="9"/>
  <c r="X96" i="9"/>
  <c r="V96" i="9"/>
  <c r="U96" i="9"/>
  <c r="S96" i="9"/>
  <c r="R96" i="9"/>
  <c r="O96" i="9"/>
  <c r="M96" i="9"/>
  <c r="L96" i="9"/>
  <c r="I96" i="9"/>
  <c r="F96" i="9"/>
  <c r="AO95" i="9"/>
  <c r="AL95" i="9"/>
  <c r="AI95" i="9"/>
  <c r="AF95" i="9"/>
  <c r="AF96" i="9" s="1"/>
  <c r="AB95" i="9"/>
  <c r="AC95" i="9" s="1"/>
  <c r="Z95" i="9"/>
  <c r="W95" i="9"/>
  <c r="T95" i="9"/>
  <c r="P95" i="9"/>
  <c r="Q95" i="9" s="1"/>
  <c r="N95" i="9"/>
  <c r="J95" i="9"/>
  <c r="J96" i="9" s="1"/>
  <c r="G95" i="9"/>
  <c r="H95" i="9" s="1"/>
  <c r="AO94" i="9"/>
  <c r="AL94" i="9"/>
  <c r="AI94" i="9"/>
  <c r="AF94" i="9"/>
  <c r="AC94" i="9"/>
  <c r="Z94" i="9"/>
  <c r="W94" i="9"/>
  <c r="T94" i="9"/>
  <c r="Q94" i="9"/>
  <c r="N94" i="9"/>
  <c r="K94" i="9"/>
  <c r="H94" i="9"/>
  <c r="AO93" i="9"/>
  <c r="AL93" i="9"/>
  <c r="AI93" i="9"/>
  <c r="AF93" i="9"/>
  <c r="AC93" i="9"/>
  <c r="Z93" i="9"/>
  <c r="W93" i="9"/>
  <c r="T93" i="9"/>
  <c r="Q93" i="9"/>
  <c r="N93" i="9"/>
  <c r="K93" i="9"/>
  <c r="H93" i="9"/>
  <c r="AO92" i="9"/>
  <c r="AL92" i="9"/>
  <c r="AI92" i="9"/>
  <c r="AF92" i="9"/>
  <c r="AC92" i="9"/>
  <c r="Z92" i="9"/>
  <c r="W92" i="9"/>
  <c r="T92" i="9"/>
  <c r="Q92" i="9"/>
  <c r="N92" i="9"/>
  <c r="K92" i="9"/>
  <c r="H92" i="9"/>
  <c r="AN89" i="9"/>
  <c r="AM89" i="9"/>
  <c r="AK89" i="9"/>
  <c r="AJ89" i="9"/>
  <c r="AH89" i="9"/>
  <c r="AG89" i="9"/>
  <c r="AE89" i="9"/>
  <c r="AD89" i="9"/>
  <c r="AD97" i="9" s="1"/>
  <c r="AB89" i="9"/>
  <c r="AA89" i="9"/>
  <c r="Y89" i="9"/>
  <c r="X89" i="9"/>
  <c r="V89" i="9"/>
  <c r="V97" i="9" s="1"/>
  <c r="U89" i="9"/>
  <c r="S89" i="9"/>
  <c r="S97" i="9" s="1"/>
  <c r="R89" i="9"/>
  <c r="R97" i="9" s="1"/>
  <c r="P89" i="9"/>
  <c r="O89" i="9"/>
  <c r="M89" i="9"/>
  <c r="L89" i="9"/>
  <c r="J89" i="9"/>
  <c r="I89" i="9"/>
  <c r="G89" i="9"/>
  <c r="F89" i="9"/>
  <c r="AO88" i="9"/>
  <c r="AO89" i="9" s="1"/>
  <c r="AL88" i="9"/>
  <c r="AL89" i="9" s="1"/>
  <c r="AI88" i="9"/>
  <c r="AI89" i="9" s="1"/>
  <c r="AF88" i="9"/>
  <c r="AF89" i="9" s="1"/>
  <c r="AC88" i="9"/>
  <c r="AC89" i="9" s="1"/>
  <c r="Z88" i="9"/>
  <c r="Z89" i="9" s="1"/>
  <c r="W88" i="9"/>
  <c r="W89" i="9" s="1"/>
  <c r="T88" i="9"/>
  <c r="T89" i="9" s="1"/>
  <c r="Q88" i="9"/>
  <c r="Q89" i="9" s="1"/>
  <c r="N88" i="9"/>
  <c r="N89" i="9" s="1"/>
  <c r="K88" i="9"/>
  <c r="K89" i="9" s="1"/>
  <c r="H88" i="9"/>
  <c r="H89" i="9" s="1"/>
  <c r="AO87" i="9"/>
  <c r="AL87" i="9"/>
  <c r="AI87" i="9"/>
  <c r="AF87" i="9"/>
  <c r="AC87" i="9"/>
  <c r="Z87" i="9"/>
  <c r="W87" i="9"/>
  <c r="T87" i="9"/>
  <c r="Q87" i="9"/>
  <c r="N87" i="9"/>
  <c r="K87" i="9"/>
  <c r="H87" i="9"/>
  <c r="AO86" i="9"/>
  <c r="AL86" i="9"/>
  <c r="AI86" i="9"/>
  <c r="AF86" i="9"/>
  <c r="AC86" i="9"/>
  <c r="Z86" i="9"/>
  <c r="W86" i="9"/>
  <c r="T86" i="9"/>
  <c r="Q86" i="9"/>
  <c r="N86" i="9"/>
  <c r="K86" i="9"/>
  <c r="H86" i="9"/>
  <c r="AN84" i="9"/>
  <c r="AM84" i="9"/>
  <c r="AK84" i="9"/>
  <c r="AJ84" i="9"/>
  <c r="AH84" i="9"/>
  <c r="AG84" i="9"/>
  <c r="AE84" i="9"/>
  <c r="AD84" i="9"/>
  <c r="AB84" i="9"/>
  <c r="AA84" i="9"/>
  <c r="Y84" i="9"/>
  <c r="X84" i="9"/>
  <c r="V84" i="9"/>
  <c r="U84" i="9"/>
  <c r="S84" i="9"/>
  <c r="R84" i="9"/>
  <c r="P84" i="9"/>
  <c r="O84" i="9"/>
  <c r="M84" i="9"/>
  <c r="L84" i="9"/>
  <c r="J84" i="9"/>
  <c r="I84" i="9"/>
  <c r="G84" i="9"/>
  <c r="F84" i="9"/>
  <c r="AO83" i="9"/>
  <c r="AO84" i="9" s="1"/>
  <c r="AL83" i="9"/>
  <c r="AL84" i="9" s="1"/>
  <c r="AI83" i="9"/>
  <c r="AI84" i="9" s="1"/>
  <c r="AF83" i="9"/>
  <c r="AF84" i="9" s="1"/>
  <c r="AC83" i="9"/>
  <c r="AC84" i="9" s="1"/>
  <c r="Z83" i="9"/>
  <c r="Z84" i="9" s="1"/>
  <c r="W83" i="9"/>
  <c r="W84" i="9" s="1"/>
  <c r="T83" i="9"/>
  <c r="T84" i="9" s="1"/>
  <c r="Q83" i="9"/>
  <c r="Q84" i="9" s="1"/>
  <c r="N83" i="9"/>
  <c r="N84" i="9" s="1"/>
  <c r="K83" i="9"/>
  <c r="K84" i="9" s="1"/>
  <c r="H83" i="9"/>
  <c r="H84" i="9" s="1"/>
  <c r="C81" i="9"/>
  <c r="AN73" i="9"/>
  <c r="AM73" i="9"/>
  <c r="AK73" i="9"/>
  <c r="AJ73" i="9"/>
  <c r="AH73" i="9"/>
  <c r="AG73" i="9"/>
  <c r="AE73" i="9"/>
  <c r="AD73" i="9"/>
  <c r="AB73" i="9"/>
  <c r="AA73" i="9"/>
  <c r="Y73" i="9"/>
  <c r="X73" i="9"/>
  <c r="V73" i="9"/>
  <c r="U73" i="9"/>
  <c r="R73" i="9"/>
  <c r="P73" i="9"/>
  <c r="O73" i="9"/>
  <c r="M73" i="9"/>
  <c r="L73" i="9"/>
  <c r="I73" i="9"/>
  <c r="F73" i="9"/>
  <c r="AO72" i="9"/>
  <c r="AL72" i="9"/>
  <c r="AI72" i="9"/>
  <c r="AF72" i="9"/>
  <c r="AC72" i="9"/>
  <c r="Z72" i="9"/>
  <c r="W72" i="9"/>
  <c r="T72" i="9"/>
  <c r="Q72" i="9"/>
  <c r="N72" i="9"/>
  <c r="K72" i="9"/>
  <c r="H72" i="9"/>
  <c r="AO71" i="9"/>
  <c r="AL71" i="9"/>
  <c r="AI71" i="9"/>
  <c r="AF71" i="9"/>
  <c r="AC71" i="9"/>
  <c r="Z71" i="9"/>
  <c r="W71" i="9"/>
  <c r="S71" i="9"/>
  <c r="T71" i="9" s="1"/>
  <c r="Q71" i="9"/>
  <c r="N71" i="9"/>
  <c r="J71" i="9"/>
  <c r="K71" i="9" s="1"/>
  <c r="G71" i="9"/>
  <c r="G73" i="9" s="1"/>
  <c r="AO70" i="9"/>
  <c r="AL70" i="9"/>
  <c r="AI70" i="9"/>
  <c r="AF70" i="9"/>
  <c r="AC70" i="9"/>
  <c r="Z70" i="9"/>
  <c r="W70" i="9"/>
  <c r="T70" i="9"/>
  <c r="Q70" i="9"/>
  <c r="N70" i="9"/>
  <c r="K70" i="9"/>
  <c r="H70" i="9"/>
  <c r="C70" i="9" s="1"/>
  <c r="AO69" i="9"/>
  <c r="AL69" i="9"/>
  <c r="AI69" i="9"/>
  <c r="AF69" i="9"/>
  <c r="AC69" i="9"/>
  <c r="Z69" i="9"/>
  <c r="W69" i="9"/>
  <c r="T69" i="9"/>
  <c r="Q69" i="9"/>
  <c r="N69" i="9"/>
  <c r="K69" i="9"/>
  <c r="H69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V66" i="9" s="1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G65" i="9"/>
  <c r="F65" i="9"/>
  <c r="H64" i="9"/>
  <c r="AN61" i="9"/>
  <c r="AM61" i="9"/>
  <c r="AK61" i="9"/>
  <c r="AJ61" i="9"/>
  <c r="AH61" i="9"/>
  <c r="AG61" i="9"/>
  <c r="AG66" i="9" s="1"/>
  <c r="AG74" i="9" s="1"/>
  <c r="AE61" i="9"/>
  <c r="AE66" i="9" s="1"/>
  <c r="AE74" i="9" s="1"/>
  <c r="AD61" i="9"/>
  <c r="AB61" i="9"/>
  <c r="AB66" i="9" s="1"/>
  <c r="AB74" i="9" s="1"/>
  <c r="AA61" i="9"/>
  <c r="AA66" i="9" s="1"/>
  <c r="Y61" i="9"/>
  <c r="X61" i="9"/>
  <c r="V61" i="9"/>
  <c r="U61" i="9"/>
  <c r="S61" i="9"/>
  <c r="R61" i="9"/>
  <c r="P61" i="9"/>
  <c r="O61" i="9"/>
  <c r="M61" i="9"/>
  <c r="L61" i="9"/>
  <c r="J61" i="9"/>
  <c r="I61" i="9"/>
  <c r="G61" i="9"/>
  <c r="F61" i="9"/>
  <c r="AO60" i="9"/>
  <c r="AL60" i="9"/>
  <c r="AI60" i="9"/>
  <c r="AF60" i="9"/>
  <c r="AC60" i="9"/>
  <c r="Z60" i="9"/>
  <c r="W60" i="9"/>
  <c r="T60" i="9"/>
  <c r="Q60" i="9"/>
  <c r="N60" i="9"/>
  <c r="K60" i="9"/>
  <c r="H60" i="9"/>
  <c r="AO59" i="9"/>
  <c r="AL59" i="9"/>
  <c r="AI59" i="9"/>
  <c r="AF59" i="9"/>
  <c r="AC59" i="9"/>
  <c r="Z59" i="9"/>
  <c r="W59" i="9"/>
  <c r="T59" i="9"/>
  <c r="T61" i="9" s="1"/>
  <c r="Q59" i="9"/>
  <c r="Q61" i="9" s="1"/>
  <c r="Q66" i="9" s="1"/>
  <c r="N59" i="9"/>
  <c r="N61" i="9" s="1"/>
  <c r="N66" i="9" s="1"/>
  <c r="K59" i="9"/>
  <c r="H59" i="9"/>
  <c r="C53" i="9"/>
  <c r="A50" i="9"/>
  <c r="AO41" i="9"/>
  <c r="AL41" i="9"/>
  <c r="AI41" i="9"/>
  <c r="AF41" i="9"/>
  <c r="AC41" i="9"/>
  <c r="Z41" i="9"/>
  <c r="W41" i="9"/>
  <c r="T41" i="9"/>
  <c r="Q41" i="9"/>
  <c r="N41" i="9"/>
  <c r="K41" i="9"/>
  <c r="H41" i="9"/>
  <c r="AN40" i="9"/>
  <c r="AM40" i="9"/>
  <c r="AK40" i="9"/>
  <c r="AJ40" i="9"/>
  <c r="AH40" i="9"/>
  <c r="AG40" i="9"/>
  <c r="AE40" i="9"/>
  <c r="AD40" i="9"/>
  <c r="AB40" i="9"/>
  <c r="AA40" i="9"/>
  <c r="Y40" i="9"/>
  <c r="X40" i="9"/>
  <c r="V40" i="9"/>
  <c r="U40" i="9"/>
  <c r="S40" i="9"/>
  <c r="R40" i="9"/>
  <c r="P40" i="9"/>
  <c r="O40" i="9"/>
  <c r="M40" i="9"/>
  <c r="L40" i="9"/>
  <c r="J40" i="9"/>
  <c r="I40" i="9"/>
  <c r="G40" i="9"/>
  <c r="F40" i="9"/>
  <c r="D40" i="9"/>
  <c r="AO39" i="9"/>
  <c r="AL39" i="9"/>
  <c r="AI39" i="9"/>
  <c r="AF39" i="9"/>
  <c r="AC39" i="9"/>
  <c r="Z39" i="9"/>
  <c r="W39" i="9"/>
  <c r="T39" i="9"/>
  <c r="Q39" i="9"/>
  <c r="N39" i="9"/>
  <c r="K39" i="9"/>
  <c r="H39" i="9"/>
  <c r="AO38" i="9"/>
  <c r="AL38" i="9"/>
  <c r="AI38" i="9"/>
  <c r="AF38" i="9"/>
  <c r="AC38" i="9"/>
  <c r="Z38" i="9"/>
  <c r="W38" i="9"/>
  <c r="T38" i="9"/>
  <c r="Q38" i="9"/>
  <c r="N38" i="9"/>
  <c r="K38" i="9"/>
  <c r="H38" i="9"/>
  <c r="AO37" i="9"/>
  <c r="AL37" i="9"/>
  <c r="AI37" i="9"/>
  <c r="AF37" i="9"/>
  <c r="AC37" i="9"/>
  <c r="Z37" i="9"/>
  <c r="W37" i="9"/>
  <c r="T37" i="9"/>
  <c r="Q37" i="9"/>
  <c r="N37" i="9"/>
  <c r="K37" i="9"/>
  <c r="H37" i="9"/>
  <c r="AO32" i="9"/>
  <c r="AL32" i="9"/>
  <c r="AI32" i="9"/>
  <c r="AF32" i="9"/>
  <c r="AC32" i="9"/>
  <c r="Z32" i="9"/>
  <c r="W32" i="9"/>
  <c r="T32" i="9"/>
  <c r="Q32" i="9"/>
  <c r="N32" i="9"/>
  <c r="K32" i="9"/>
  <c r="H32" i="9"/>
  <c r="AN31" i="9"/>
  <c r="AM31" i="9"/>
  <c r="AK31" i="9"/>
  <c r="AJ31" i="9"/>
  <c r="AH31" i="9"/>
  <c r="AG31" i="9"/>
  <c r="AE31" i="9"/>
  <c r="AD31" i="9"/>
  <c r="AB31" i="9"/>
  <c r="AA31" i="9"/>
  <c r="Y31" i="9"/>
  <c r="X31" i="9"/>
  <c r="V31" i="9"/>
  <c r="U31" i="9"/>
  <c r="S31" i="9"/>
  <c r="R31" i="9"/>
  <c r="P31" i="9"/>
  <c r="O31" i="9"/>
  <c r="M31" i="9"/>
  <c r="L31" i="9"/>
  <c r="J31" i="9"/>
  <c r="I31" i="9"/>
  <c r="G31" i="9"/>
  <c r="D31" i="9"/>
  <c r="AO30" i="9"/>
  <c r="AL30" i="9"/>
  <c r="AI30" i="9"/>
  <c r="AF30" i="9"/>
  <c r="AC30" i="9"/>
  <c r="Z30" i="9"/>
  <c r="W30" i="9"/>
  <c r="T30" i="9"/>
  <c r="Q30" i="9"/>
  <c r="N30" i="9"/>
  <c r="K30" i="9"/>
  <c r="F30" i="9"/>
  <c r="H30" i="9" s="1"/>
  <c r="AO29" i="9"/>
  <c r="AL29" i="9"/>
  <c r="AI29" i="9"/>
  <c r="AF29" i="9"/>
  <c r="AC29" i="9"/>
  <c r="Z29" i="9"/>
  <c r="W29" i="9"/>
  <c r="T29" i="9"/>
  <c r="Q29" i="9"/>
  <c r="N29" i="9"/>
  <c r="K29" i="9"/>
  <c r="H29" i="9"/>
  <c r="C29" i="9" s="1"/>
  <c r="AO28" i="9"/>
  <c r="AL28" i="9"/>
  <c r="AI28" i="9"/>
  <c r="AF28" i="9"/>
  <c r="AC28" i="9"/>
  <c r="Z28" i="9"/>
  <c r="W28" i="9"/>
  <c r="T28" i="9"/>
  <c r="Q28" i="9"/>
  <c r="N28" i="9"/>
  <c r="K28" i="9"/>
  <c r="H28" i="9"/>
  <c r="AO27" i="9"/>
  <c r="AL27" i="9"/>
  <c r="AI27" i="9"/>
  <c r="AF27" i="9"/>
  <c r="AC27" i="9"/>
  <c r="Z27" i="9"/>
  <c r="W27" i="9"/>
  <c r="T27" i="9"/>
  <c r="Q27" i="9"/>
  <c r="N27" i="9"/>
  <c r="K27" i="9"/>
  <c r="H27" i="9"/>
  <c r="AO26" i="9"/>
  <c r="AL26" i="9"/>
  <c r="AI26" i="9"/>
  <c r="AF26" i="9"/>
  <c r="AC26" i="9"/>
  <c r="Z26" i="9"/>
  <c r="W26" i="9"/>
  <c r="T26" i="9"/>
  <c r="Q26" i="9"/>
  <c r="N26" i="9"/>
  <c r="K26" i="9"/>
  <c r="H26" i="9"/>
  <c r="AN22" i="9"/>
  <c r="AN33" i="9" s="1"/>
  <c r="AN42" i="9" s="1"/>
  <c r="AN46" i="9" s="1"/>
  <c r="AN47" i="9" s="1"/>
  <c r="AM22" i="9"/>
  <c r="AK22" i="9"/>
  <c r="AJ22" i="9"/>
  <c r="AJ33" i="9" s="1"/>
  <c r="AJ42" i="9" s="1"/>
  <c r="AJ46" i="9" s="1"/>
  <c r="AJ47" i="9" s="1"/>
  <c r="AH22" i="9"/>
  <c r="AH33" i="9" s="1"/>
  <c r="AH42" i="9" s="1"/>
  <c r="AH46" i="9" s="1"/>
  <c r="AH47" i="9" s="1"/>
  <c r="AG22" i="9"/>
  <c r="AG33" i="9" s="1"/>
  <c r="AE22" i="9"/>
  <c r="AE33" i="9" s="1"/>
  <c r="AD22" i="9"/>
  <c r="AB22" i="9"/>
  <c r="AB33" i="9" s="1"/>
  <c r="AB42" i="9" s="1"/>
  <c r="AB46" i="9" s="1"/>
  <c r="AB47" i="9" s="1"/>
  <c r="AA22" i="9"/>
  <c r="AA33" i="9" s="1"/>
  <c r="AA42" i="9" s="1"/>
  <c r="AA46" i="9" s="1"/>
  <c r="AA47" i="9" s="1"/>
  <c r="Y22" i="9"/>
  <c r="X22" i="9"/>
  <c r="V22" i="9"/>
  <c r="U22" i="9"/>
  <c r="S22" i="9"/>
  <c r="R22" i="9"/>
  <c r="P22" i="9"/>
  <c r="P33" i="9" s="1"/>
  <c r="P42" i="9" s="1"/>
  <c r="P46" i="9" s="1"/>
  <c r="P47" i="9" s="1"/>
  <c r="O22" i="9"/>
  <c r="M22" i="9"/>
  <c r="L22" i="9"/>
  <c r="L33" i="9" s="1"/>
  <c r="J22" i="9"/>
  <c r="I22" i="9"/>
  <c r="I33" i="9" s="1"/>
  <c r="G22" i="9"/>
  <c r="F22" i="9"/>
  <c r="D22" i="9"/>
  <c r="AO21" i="9"/>
  <c r="AL21" i="9"/>
  <c r="AI21" i="9"/>
  <c r="AF21" i="9"/>
  <c r="AC21" i="9"/>
  <c r="Z21" i="9"/>
  <c r="W21" i="9"/>
  <c r="T21" i="9"/>
  <c r="Q21" i="9"/>
  <c r="N21" i="9"/>
  <c r="K21" i="9"/>
  <c r="H21" i="9"/>
  <c r="AO20" i="9"/>
  <c r="AL20" i="9"/>
  <c r="AI20" i="9"/>
  <c r="AF20" i="9"/>
  <c r="AC20" i="9"/>
  <c r="Z20" i="9"/>
  <c r="W20" i="9"/>
  <c r="T20" i="9"/>
  <c r="Q20" i="9"/>
  <c r="N20" i="9"/>
  <c r="K20" i="9"/>
  <c r="H20" i="9"/>
  <c r="AO19" i="9"/>
  <c r="AL19" i="9"/>
  <c r="AI19" i="9"/>
  <c r="AF19" i="9"/>
  <c r="AC19" i="9"/>
  <c r="Z19" i="9"/>
  <c r="W19" i="9"/>
  <c r="T19" i="9"/>
  <c r="Q19" i="9"/>
  <c r="N19" i="9"/>
  <c r="K19" i="9"/>
  <c r="H19" i="9"/>
  <c r="AO18" i="9"/>
  <c r="AL18" i="9"/>
  <c r="AI18" i="9"/>
  <c r="AF18" i="9"/>
  <c r="AC18" i="9"/>
  <c r="Z18" i="9"/>
  <c r="W18" i="9"/>
  <c r="T18" i="9"/>
  <c r="Q18" i="9"/>
  <c r="N18" i="9"/>
  <c r="K18" i="9"/>
  <c r="H18" i="9"/>
  <c r="AO17" i="9"/>
  <c r="AL17" i="9"/>
  <c r="AI17" i="9"/>
  <c r="AF17" i="9"/>
  <c r="AC17" i="9"/>
  <c r="Z17" i="9"/>
  <c r="W17" i="9"/>
  <c r="T17" i="9"/>
  <c r="Q17" i="9"/>
  <c r="N17" i="9"/>
  <c r="K17" i="9"/>
  <c r="H17" i="9"/>
  <c r="AO16" i="9"/>
  <c r="AL16" i="9"/>
  <c r="AI16" i="9"/>
  <c r="AF16" i="9"/>
  <c r="AC16" i="9"/>
  <c r="Z16" i="9"/>
  <c r="W16" i="9"/>
  <c r="T16" i="9"/>
  <c r="Q16" i="9"/>
  <c r="N16" i="9"/>
  <c r="K16" i="9"/>
  <c r="H16" i="9"/>
  <c r="AO15" i="9"/>
  <c r="AL15" i="9"/>
  <c r="AI15" i="9"/>
  <c r="AF15" i="9"/>
  <c r="AC15" i="9"/>
  <c r="Z15" i="9"/>
  <c r="W15" i="9"/>
  <c r="T15" i="9"/>
  <c r="Q15" i="9"/>
  <c r="N15" i="9"/>
  <c r="K15" i="9"/>
  <c r="H15" i="9"/>
  <c r="AO14" i="9"/>
  <c r="AL14" i="9"/>
  <c r="AI14" i="9"/>
  <c r="AF14" i="9"/>
  <c r="AC14" i="9"/>
  <c r="Z14" i="9"/>
  <c r="W14" i="9"/>
  <c r="T14" i="9"/>
  <c r="Q14" i="9"/>
  <c r="N14" i="9"/>
  <c r="K14" i="9"/>
  <c r="H14" i="9"/>
  <c r="AO13" i="9"/>
  <c r="AL13" i="9"/>
  <c r="AI13" i="9"/>
  <c r="AF13" i="9"/>
  <c r="AC13" i="9"/>
  <c r="Z13" i="9"/>
  <c r="W13" i="9"/>
  <c r="T13" i="9"/>
  <c r="Q13" i="9"/>
  <c r="N13" i="9"/>
  <c r="K13" i="9"/>
  <c r="H13" i="9"/>
  <c r="AC12" i="9"/>
  <c r="Z12" i="9"/>
  <c r="W12" i="9"/>
  <c r="T12" i="9"/>
  <c r="Q12" i="9"/>
  <c r="N12" i="9"/>
  <c r="K12" i="9"/>
  <c r="H12" i="9"/>
  <c r="AO11" i="9"/>
  <c r="AL11" i="9"/>
  <c r="AI11" i="9"/>
  <c r="AF11" i="9"/>
  <c r="AC11" i="9"/>
  <c r="Z11" i="9"/>
  <c r="W11" i="9"/>
  <c r="T11" i="9"/>
  <c r="Q11" i="9"/>
  <c r="N11" i="9"/>
  <c r="K11" i="9"/>
  <c r="H11" i="9"/>
  <c r="AC10" i="9"/>
  <c r="Z10" i="9"/>
  <c r="W10" i="9"/>
  <c r="T10" i="9"/>
  <c r="Q10" i="9"/>
  <c r="N10" i="9"/>
  <c r="K10" i="9"/>
  <c r="H10" i="9"/>
  <c r="AC9" i="9"/>
  <c r="Z9" i="9"/>
  <c r="W9" i="9"/>
  <c r="T9" i="9"/>
  <c r="Q9" i="9"/>
  <c r="N9" i="9"/>
  <c r="K9" i="9"/>
  <c r="H9" i="9"/>
  <c r="AC8" i="9"/>
  <c r="Z8" i="9"/>
  <c r="W8" i="9"/>
  <c r="T8" i="9"/>
  <c r="Q8" i="9"/>
  <c r="N8" i="9"/>
  <c r="K8" i="9"/>
  <c r="H8" i="9"/>
  <c r="AO7" i="9"/>
  <c r="AL7" i="9"/>
  <c r="AI7" i="9"/>
  <c r="AF7" i="9"/>
  <c r="AC7" i="9"/>
  <c r="Z7" i="9"/>
  <c r="W7" i="9"/>
  <c r="T7" i="9"/>
  <c r="Q7" i="9"/>
  <c r="N7" i="9"/>
  <c r="K7" i="9"/>
  <c r="H7" i="9"/>
  <c r="AA4" i="9"/>
  <c r="X4" i="9"/>
  <c r="U4" i="9"/>
  <c r="R4" i="9"/>
  <c r="O4" i="9"/>
  <c r="L4" i="9"/>
  <c r="I4" i="9"/>
  <c r="F4" i="9"/>
  <c r="C59" i="9" l="1"/>
  <c r="Q22" i="9"/>
  <c r="AJ66" i="9"/>
  <c r="AJ74" i="9" s="1"/>
  <c r="V74" i="9"/>
  <c r="K40" i="9"/>
  <c r="AO96" i="9"/>
  <c r="I42" i="9"/>
  <c r="I46" i="9" s="1"/>
  <c r="I47" i="9" s="1"/>
  <c r="N73" i="9"/>
  <c r="N74" i="9" s="1"/>
  <c r="K61" i="9"/>
  <c r="K66" i="9" s="1"/>
  <c r="K74" i="9" s="1"/>
  <c r="W73" i="9"/>
  <c r="L42" i="9"/>
  <c r="L46" i="9" s="1"/>
  <c r="AI61" i="9"/>
  <c r="AI66" i="9" s="1"/>
  <c r="AH97" i="9"/>
  <c r="F97" i="9"/>
  <c r="AJ97" i="9"/>
  <c r="AO61" i="9"/>
  <c r="AO66" i="9" s="1"/>
  <c r="H71" i="9"/>
  <c r="C71" i="9" s="1"/>
  <c r="AK97" i="9"/>
  <c r="AK99" i="9" s="1"/>
  <c r="T31" i="9"/>
  <c r="R66" i="9"/>
  <c r="S33" i="9"/>
  <c r="S42" i="9" s="1"/>
  <c r="S46" i="9" s="1"/>
  <c r="S47" i="9" s="1"/>
  <c r="AI40" i="9"/>
  <c r="S66" i="9"/>
  <c r="AA97" i="9"/>
  <c r="AC31" i="9"/>
  <c r="AE97" i="9"/>
  <c r="X33" i="9"/>
  <c r="X42" i="9" s="1"/>
  <c r="X46" i="9" s="1"/>
  <c r="X47" i="9" s="1"/>
  <c r="U66" i="9"/>
  <c r="U74" i="9" s="1"/>
  <c r="AF31" i="9"/>
  <c r="T40" i="9"/>
  <c r="Z61" i="9"/>
  <c r="Z66" i="9" s="1"/>
  <c r="Z74" i="9" s="1"/>
  <c r="K73" i="9"/>
  <c r="W40" i="9"/>
  <c r="AC61" i="9"/>
  <c r="AC66" i="9" s="1"/>
  <c r="AO97" i="9"/>
  <c r="AO99" i="9" s="1"/>
  <c r="AL31" i="9"/>
  <c r="Z31" i="9"/>
  <c r="AF61" i="9"/>
  <c r="AF66" i="9" s="1"/>
  <c r="U97" i="9"/>
  <c r="U99" i="9" s="1"/>
  <c r="AC40" i="9"/>
  <c r="AF40" i="9"/>
  <c r="AL61" i="9"/>
  <c r="AL66" i="9" s="1"/>
  <c r="AD66" i="9"/>
  <c r="AD74" i="9" s="1"/>
  <c r="V99" i="9"/>
  <c r="X97" i="9"/>
  <c r="G96" i="9"/>
  <c r="G97" i="9" s="1"/>
  <c r="G99" i="9" s="1"/>
  <c r="Y97" i="9"/>
  <c r="Y99" i="9" s="1"/>
  <c r="T73" i="9"/>
  <c r="AL73" i="9"/>
  <c r="C20" i="9"/>
  <c r="AO40" i="9"/>
  <c r="L66" i="9"/>
  <c r="L74" i="9" s="1"/>
  <c r="R33" i="9"/>
  <c r="R42" i="9" s="1"/>
  <c r="R46" i="9" s="1"/>
  <c r="T46" i="9" s="1"/>
  <c r="T47" i="9" s="1"/>
  <c r="C26" i="9"/>
  <c r="C30" i="9"/>
  <c r="I97" i="9"/>
  <c r="I99" i="9" s="1"/>
  <c r="O97" i="9"/>
  <c r="O99" i="9" s="1"/>
  <c r="C8" i="9"/>
  <c r="AC96" i="9"/>
  <c r="P96" i="9"/>
  <c r="P97" i="9" s="1"/>
  <c r="P99" i="9" s="1"/>
  <c r="AM33" i="9"/>
  <c r="H61" i="9"/>
  <c r="O66" i="9"/>
  <c r="O74" i="9" s="1"/>
  <c r="AD99" i="9"/>
  <c r="C94" i="9"/>
  <c r="C12" i="9"/>
  <c r="C16" i="9"/>
  <c r="Q31" i="9"/>
  <c r="Q33" i="9" s="1"/>
  <c r="C38" i="9"/>
  <c r="AM66" i="9"/>
  <c r="AI73" i="9"/>
  <c r="AI74" i="9" s="1"/>
  <c r="AG97" i="9"/>
  <c r="AG99" i="9" s="1"/>
  <c r="AG100" i="9" s="1"/>
  <c r="AI96" i="9"/>
  <c r="W61" i="9"/>
  <c r="W66" i="9" s="1"/>
  <c r="W74" i="9" s="1"/>
  <c r="F99" i="9"/>
  <c r="AI97" i="9"/>
  <c r="AI99" i="9" s="1"/>
  <c r="T96" i="9"/>
  <c r="T97" i="9" s="1"/>
  <c r="T99" i="9" s="1"/>
  <c r="T22" i="9"/>
  <c r="J33" i="9"/>
  <c r="J42" i="9" s="1"/>
  <c r="J46" i="9" s="1"/>
  <c r="J47" i="9" s="1"/>
  <c r="N31" i="9"/>
  <c r="F31" i="9"/>
  <c r="F33" i="9" s="1"/>
  <c r="F42" i="9" s="1"/>
  <c r="F46" i="9" s="1"/>
  <c r="F47" i="9" s="1"/>
  <c r="N40" i="9"/>
  <c r="M66" i="9"/>
  <c r="M74" i="9" s="1"/>
  <c r="X99" i="9"/>
  <c r="W96" i="9"/>
  <c r="W97" i="9" s="1"/>
  <c r="W99" i="9" s="1"/>
  <c r="Q40" i="9"/>
  <c r="C88" i="9"/>
  <c r="C89" i="9" s="1"/>
  <c r="Z96" i="9"/>
  <c r="Z97" i="9" s="1"/>
  <c r="Z99" i="9" s="1"/>
  <c r="F34" i="6"/>
  <c r="C10" i="9"/>
  <c r="Z22" i="9"/>
  <c r="Z33" i="9" s="1"/>
  <c r="Z42" i="9" s="1"/>
  <c r="Z46" i="9" s="1"/>
  <c r="Z47" i="9" s="1"/>
  <c r="O33" i="9"/>
  <c r="O42" i="9" s="1"/>
  <c r="O46" i="9" s="1"/>
  <c r="O47" i="9" s="1"/>
  <c r="AG42" i="9"/>
  <c r="AG46" i="9" s="1"/>
  <c r="AG47" i="9" s="1"/>
  <c r="P66" i="9"/>
  <c r="P74" i="9" s="1"/>
  <c r="AH66" i="9"/>
  <c r="AH74" i="9" s="1"/>
  <c r="AH100" i="9" s="1"/>
  <c r="S73" i="9"/>
  <c r="S74" i="9" s="1"/>
  <c r="AF22" i="9"/>
  <c r="AC22" i="9"/>
  <c r="AC33" i="9" s="1"/>
  <c r="AL22" i="9"/>
  <c r="Z40" i="9"/>
  <c r="R74" i="9"/>
  <c r="AL96" i="9"/>
  <c r="AL97" i="9" s="1"/>
  <c r="AL99" i="9" s="1"/>
  <c r="AO22" i="9"/>
  <c r="N22" i="9"/>
  <c r="C18" i="9"/>
  <c r="C19" i="9"/>
  <c r="G66" i="9"/>
  <c r="G74" i="9" s="1"/>
  <c r="J73" i="9"/>
  <c r="C93" i="9"/>
  <c r="C15" i="9"/>
  <c r="C60" i="9"/>
  <c r="C61" i="9" s="1"/>
  <c r="F66" i="9"/>
  <c r="F74" i="9" s="1"/>
  <c r="AK66" i="9"/>
  <c r="AK74" i="9" s="1"/>
  <c r="AK100" i="9" s="1"/>
  <c r="AM74" i="9"/>
  <c r="R99" i="9"/>
  <c r="M97" i="9"/>
  <c r="M99" i="9" s="1"/>
  <c r="AM97" i="9"/>
  <c r="AM99" i="9" s="1"/>
  <c r="C14" i="9"/>
  <c r="C13" i="9"/>
  <c r="D33" i="9"/>
  <c r="D42" i="9" s="1"/>
  <c r="D47" i="9" s="1"/>
  <c r="AL40" i="9"/>
  <c r="X66" i="9"/>
  <c r="X74" i="9" s="1"/>
  <c r="K22" i="9"/>
  <c r="C11" i="9"/>
  <c r="C17" i="9"/>
  <c r="AO31" i="9"/>
  <c r="J66" i="9"/>
  <c r="Y66" i="9"/>
  <c r="Y74" i="9" s="1"/>
  <c r="AN66" i="9"/>
  <c r="AN74" i="9" s="1"/>
  <c r="Z73" i="9"/>
  <c r="N96" i="9"/>
  <c r="N97" i="9" s="1"/>
  <c r="N99" i="9" s="1"/>
  <c r="C7" i="9"/>
  <c r="I66" i="9"/>
  <c r="I74" i="9" s="1"/>
  <c r="AH99" i="9"/>
  <c r="C21" i="9"/>
  <c r="G33" i="9"/>
  <c r="G42" i="9" s="1"/>
  <c r="G46" i="9" s="1"/>
  <c r="G47" i="9" s="1"/>
  <c r="Y33" i="9"/>
  <c r="Y42" i="9" s="1"/>
  <c r="Y46" i="9" s="1"/>
  <c r="Y47" i="9" s="1"/>
  <c r="H31" i="9"/>
  <c r="C28" i="9"/>
  <c r="T66" i="9"/>
  <c r="AF73" i="9"/>
  <c r="Q96" i="9"/>
  <c r="Q97" i="9" s="1"/>
  <c r="Q99" i="9" s="1"/>
  <c r="J97" i="9"/>
  <c r="L47" i="9"/>
  <c r="D46" i="9"/>
  <c r="V100" i="9"/>
  <c r="V102" i="9" s="1"/>
  <c r="W22" i="9"/>
  <c r="C9" i="9"/>
  <c r="H65" i="9"/>
  <c r="H66" i="9" s="1"/>
  <c r="C64" i="9"/>
  <c r="C65" i="9" s="1"/>
  <c r="L97" i="9"/>
  <c r="L99" i="9" s="1"/>
  <c r="L100" i="9" s="1"/>
  <c r="C125" i="9"/>
  <c r="H22" i="9"/>
  <c r="U33" i="9"/>
  <c r="U42" i="9" s="1"/>
  <c r="U46" i="9" s="1"/>
  <c r="U47" i="9" s="1"/>
  <c r="AD33" i="9"/>
  <c r="AD42" i="9" s="1"/>
  <c r="AD46" i="9" s="1"/>
  <c r="AD47" i="9" s="1"/>
  <c r="K31" i="9"/>
  <c r="W31" i="9"/>
  <c r="AI31" i="9"/>
  <c r="C27" i="9"/>
  <c r="C39" i="9"/>
  <c r="AA74" i="9"/>
  <c r="C69" i="9"/>
  <c r="AI22" i="9"/>
  <c r="C37" i="9"/>
  <c r="H40" i="9"/>
  <c r="M33" i="9"/>
  <c r="M42" i="9" s="1"/>
  <c r="M46" i="9" s="1"/>
  <c r="M47" i="9" s="1"/>
  <c r="V33" i="9"/>
  <c r="V42" i="9" s="1"/>
  <c r="V46" i="9" s="1"/>
  <c r="V47" i="9" s="1"/>
  <c r="AK33" i="9"/>
  <c r="AK42" i="9" s="1"/>
  <c r="AK46" i="9" s="1"/>
  <c r="AK47" i="9" s="1"/>
  <c r="AE42" i="9"/>
  <c r="AE46" i="9" s="1"/>
  <c r="AE47" i="9" s="1"/>
  <c r="AM42" i="9"/>
  <c r="AM46" i="9" s="1"/>
  <c r="AM47" i="9" s="1"/>
  <c r="J99" i="9"/>
  <c r="AE99" i="9"/>
  <c r="AE100" i="9" s="1"/>
  <c r="AJ99" i="9"/>
  <c r="AJ100" i="9" s="1"/>
  <c r="AC97" i="9"/>
  <c r="AC99" i="9" s="1"/>
  <c r="AN97" i="9"/>
  <c r="AN99" i="9" s="1"/>
  <c r="C72" i="9"/>
  <c r="AA99" i="9"/>
  <c r="AF97" i="9"/>
  <c r="AF99" i="9" s="1"/>
  <c r="C92" i="9"/>
  <c r="H96" i="9"/>
  <c r="H97" i="9" s="1"/>
  <c r="H99" i="9" s="1"/>
  <c r="AB96" i="9"/>
  <c r="AB97" i="9" s="1"/>
  <c r="AB99" i="9" s="1"/>
  <c r="AB100" i="9" s="1"/>
  <c r="AB102" i="9" s="1"/>
  <c r="Q73" i="9"/>
  <c r="Q74" i="9" s="1"/>
  <c r="AC73" i="9"/>
  <c r="AO73" i="9"/>
  <c r="S99" i="9"/>
  <c r="K95" i="9"/>
  <c r="C83" i="9"/>
  <c r="C84" i="9" s="1"/>
  <c r="F4" i="10"/>
  <c r="AD4" i="10" s="1"/>
  <c r="AB96" i="10"/>
  <c r="J73" i="10"/>
  <c r="J96" i="10"/>
  <c r="Q95" i="10"/>
  <c r="G96" i="10"/>
  <c r="C129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AN96" i="10"/>
  <c r="AM96" i="10"/>
  <c r="AK96" i="10"/>
  <c r="AK97" i="10" s="1"/>
  <c r="AJ96" i="10"/>
  <c r="AH96" i="10"/>
  <c r="AG96" i="10"/>
  <c r="AE96" i="10"/>
  <c r="AD96" i="10"/>
  <c r="AA96" i="10"/>
  <c r="Y96" i="10"/>
  <c r="X96" i="10"/>
  <c r="V96" i="10"/>
  <c r="U96" i="10"/>
  <c r="R96" i="10"/>
  <c r="P96" i="10"/>
  <c r="O96" i="10"/>
  <c r="M96" i="10"/>
  <c r="L96" i="10"/>
  <c r="I96" i="10"/>
  <c r="I97" i="10" s="1"/>
  <c r="F96" i="10"/>
  <c r="AO95" i="10"/>
  <c r="AL95" i="10"/>
  <c r="AI95" i="10"/>
  <c r="AF95" i="10"/>
  <c r="AC95" i="10"/>
  <c r="Z95" i="10"/>
  <c r="W95" i="10"/>
  <c r="T95" i="10"/>
  <c r="N95" i="10"/>
  <c r="AO94" i="10"/>
  <c r="AL94" i="10"/>
  <c r="AI94" i="10"/>
  <c r="AF94" i="10"/>
  <c r="AC94" i="10"/>
  <c r="Z94" i="10"/>
  <c r="W94" i="10"/>
  <c r="T94" i="10"/>
  <c r="Q94" i="10"/>
  <c r="N94" i="10"/>
  <c r="K94" i="10"/>
  <c r="H94" i="10"/>
  <c r="AO93" i="10"/>
  <c r="AL93" i="10"/>
  <c r="AI93" i="10"/>
  <c r="AF93" i="10"/>
  <c r="AC93" i="10"/>
  <c r="Z93" i="10"/>
  <c r="W93" i="10"/>
  <c r="T93" i="10"/>
  <c r="Q93" i="10"/>
  <c r="N93" i="10"/>
  <c r="K93" i="10"/>
  <c r="H93" i="10"/>
  <c r="AO92" i="10"/>
  <c r="AL92" i="10"/>
  <c r="AI92" i="10"/>
  <c r="AF92" i="10"/>
  <c r="AC92" i="10"/>
  <c r="Z92" i="10"/>
  <c r="W92" i="10"/>
  <c r="T92" i="10"/>
  <c r="Q92" i="10"/>
  <c r="N92" i="10"/>
  <c r="K92" i="10"/>
  <c r="H92" i="10"/>
  <c r="AN89" i="10"/>
  <c r="AM89" i="10"/>
  <c r="AK89" i="10"/>
  <c r="AJ89" i="10"/>
  <c r="AH89" i="10"/>
  <c r="AG89" i="10"/>
  <c r="AG97" i="10" s="1"/>
  <c r="AE89" i="10"/>
  <c r="AE97" i="10" s="1"/>
  <c r="AD89" i="10"/>
  <c r="AB89" i="10"/>
  <c r="AA89" i="10"/>
  <c r="Y89" i="10"/>
  <c r="X89" i="10"/>
  <c r="V89" i="10"/>
  <c r="U89" i="10"/>
  <c r="S89" i="10"/>
  <c r="R89" i="10"/>
  <c r="P89" i="10"/>
  <c r="O89" i="10"/>
  <c r="M89" i="10"/>
  <c r="L89" i="10"/>
  <c r="J89" i="10"/>
  <c r="I89" i="10"/>
  <c r="G89" i="10"/>
  <c r="F89" i="10"/>
  <c r="AO88" i="10"/>
  <c r="AO89" i="10" s="1"/>
  <c r="AL88" i="10"/>
  <c r="AL89" i="10" s="1"/>
  <c r="AI88" i="10"/>
  <c r="AI89" i="10" s="1"/>
  <c r="AF88" i="10"/>
  <c r="AF89" i="10" s="1"/>
  <c r="AC88" i="10"/>
  <c r="AC89" i="10" s="1"/>
  <c r="Z88" i="10"/>
  <c r="Z89" i="10" s="1"/>
  <c r="W88" i="10"/>
  <c r="W89" i="10" s="1"/>
  <c r="T88" i="10"/>
  <c r="T89" i="10" s="1"/>
  <c r="Q88" i="10"/>
  <c r="Q89" i="10" s="1"/>
  <c r="N88" i="10"/>
  <c r="K88" i="10"/>
  <c r="K89" i="10" s="1"/>
  <c r="H88" i="10"/>
  <c r="H89" i="10" s="1"/>
  <c r="AO87" i="10"/>
  <c r="AL87" i="10"/>
  <c r="AI87" i="10"/>
  <c r="AF87" i="10"/>
  <c r="AC87" i="10"/>
  <c r="Z87" i="10"/>
  <c r="W87" i="10"/>
  <c r="T87" i="10"/>
  <c r="Q87" i="10"/>
  <c r="N87" i="10"/>
  <c r="K87" i="10"/>
  <c r="H87" i="10"/>
  <c r="AO86" i="10"/>
  <c r="AL86" i="10"/>
  <c r="AI86" i="10"/>
  <c r="AF86" i="10"/>
  <c r="AC86" i="10"/>
  <c r="Z86" i="10"/>
  <c r="W86" i="10"/>
  <c r="T86" i="10"/>
  <c r="Q86" i="10"/>
  <c r="N86" i="10"/>
  <c r="K86" i="10"/>
  <c r="H86" i="10"/>
  <c r="AN84" i="10"/>
  <c r="AM84" i="10"/>
  <c r="AK84" i="10"/>
  <c r="AJ84" i="10"/>
  <c r="AH84" i="10"/>
  <c r="AG84" i="10"/>
  <c r="AE84" i="10"/>
  <c r="AD84" i="10"/>
  <c r="AB84" i="10"/>
  <c r="AA84" i="10"/>
  <c r="Y84" i="10"/>
  <c r="X84" i="10"/>
  <c r="V84" i="10"/>
  <c r="U84" i="10"/>
  <c r="S84" i="10"/>
  <c r="R84" i="10"/>
  <c r="P84" i="10"/>
  <c r="O84" i="10"/>
  <c r="M84" i="10"/>
  <c r="L84" i="10"/>
  <c r="J84" i="10"/>
  <c r="I84" i="10"/>
  <c r="G84" i="10"/>
  <c r="F84" i="10"/>
  <c r="AO83" i="10"/>
  <c r="AO84" i="10" s="1"/>
  <c r="AL83" i="10"/>
  <c r="AL84" i="10" s="1"/>
  <c r="AI83" i="10"/>
  <c r="AI84" i="10" s="1"/>
  <c r="AF83" i="10"/>
  <c r="AF84" i="10" s="1"/>
  <c r="AC83" i="10"/>
  <c r="Z83" i="10"/>
  <c r="W83" i="10"/>
  <c r="T83" i="10"/>
  <c r="Q83" i="10"/>
  <c r="N83" i="10"/>
  <c r="N84" i="10" s="1"/>
  <c r="K83" i="10"/>
  <c r="H83" i="10"/>
  <c r="D22" i="4" s="1"/>
  <c r="C81" i="10"/>
  <c r="AN73" i="10"/>
  <c r="AM73" i="10"/>
  <c r="AK73" i="10"/>
  <c r="AJ73" i="10"/>
  <c r="AH73" i="10"/>
  <c r="AG73" i="10"/>
  <c r="AE73" i="10"/>
  <c r="AD73" i="10"/>
  <c r="AB73" i="10"/>
  <c r="AA73" i="10"/>
  <c r="Y73" i="10"/>
  <c r="X73" i="10"/>
  <c r="V73" i="10"/>
  <c r="U73" i="10"/>
  <c r="S73" i="10"/>
  <c r="R73" i="10"/>
  <c r="P73" i="10"/>
  <c r="O73" i="10"/>
  <c r="M73" i="10"/>
  <c r="L73" i="10"/>
  <c r="I73" i="10"/>
  <c r="F73" i="10"/>
  <c r="AO72" i="10"/>
  <c r="AL72" i="10"/>
  <c r="AI72" i="10"/>
  <c r="AF72" i="10"/>
  <c r="AC72" i="10"/>
  <c r="Z72" i="10"/>
  <c r="W72" i="10"/>
  <c r="T72" i="10"/>
  <c r="Q72" i="10"/>
  <c r="N72" i="10"/>
  <c r="K72" i="10"/>
  <c r="H72" i="10"/>
  <c r="AO71" i="10"/>
  <c r="AL71" i="10"/>
  <c r="AI71" i="10"/>
  <c r="AF71" i="10"/>
  <c r="AC71" i="10"/>
  <c r="Z71" i="10"/>
  <c r="W71" i="10"/>
  <c r="T71" i="10"/>
  <c r="Q71" i="10"/>
  <c r="N71" i="10"/>
  <c r="K71" i="10"/>
  <c r="H71" i="10"/>
  <c r="G73" i="10"/>
  <c r="AO70" i="10"/>
  <c r="AL70" i="10"/>
  <c r="AI70" i="10"/>
  <c r="AF70" i="10"/>
  <c r="AC70" i="10"/>
  <c r="Z70" i="10"/>
  <c r="W70" i="10"/>
  <c r="T70" i="10"/>
  <c r="Q70" i="10"/>
  <c r="N70" i="10"/>
  <c r="K70" i="10"/>
  <c r="H70" i="10"/>
  <c r="AO69" i="10"/>
  <c r="AL69" i="10"/>
  <c r="AI69" i="10"/>
  <c r="AF69" i="10"/>
  <c r="AC69" i="10"/>
  <c r="Z69" i="10"/>
  <c r="W69" i="10"/>
  <c r="T69" i="10"/>
  <c r="Q69" i="10"/>
  <c r="N69" i="10"/>
  <c r="K69" i="10"/>
  <c r="H69" i="10"/>
  <c r="AO65" i="10"/>
  <c r="AN65" i="10"/>
  <c r="AM65" i="10"/>
  <c r="AL65" i="10"/>
  <c r="AK65" i="10"/>
  <c r="AJ65" i="10"/>
  <c r="AJ66" i="10" s="1"/>
  <c r="AJ74" i="10" s="1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G65" i="10"/>
  <c r="F65" i="10"/>
  <c r="H64" i="10"/>
  <c r="C64" i="10" s="1"/>
  <c r="C65" i="10" s="1"/>
  <c r="AN61" i="10"/>
  <c r="AM61" i="10"/>
  <c r="AK61" i="10"/>
  <c r="AJ61" i="10"/>
  <c r="AH61" i="10"/>
  <c r="AG61" i="10"/>
  <c r="AE61" i="10"/>
  <c r="AD61" i="10"/>
  <c r="AB61" i="10"/>
  <c r="AA61" i="10"/>
  <c r="Y61" i="10"/>
  <c r="X61" i="10"/>
  <c r="V61" i="10"/>
  <c r="U61" i="10"/>
  <c r="S61" i="10"/>
  <c r="R61" i="10"/>
  <c r="R66" i="10" s="1"/>
  <c r="P61" i="10"/>
  <c r="O61" i="10"/>
  <c r="M61" i="10"/>
  <c r="L61" i="10"/>
  <c r="J61" i="10"/>
  <c r="I61" i="10"/>
  <c r="G61" i="10"/>
  <c r="F61" i="10"/>
  <c r="AO60" i="10"/>
  <c r="AL60" i="10"/>
  <c r="AI60" i="10"/>
  <c r="AF60" i="10"/>
  <c r="AC60" i="10"/>
  <c r="Z60" i="10"/>
  <c r="W60" i="10"/>
  <c r="T60" i="10"/>
  <c r="Q60" i="10"/>
  <c r="N60" i="10"/>
  <c r="K60" i="10"/>
  <c r="H60" i="10"/>
  <c r="AO59" i="10"/>
  <c r="AL59" i="10"/>
  <c r="AI59" i="10"/>
  <c r="AF59" i="10"/>
  <c r="AC59" i="10"/>
  <c r="Z59" i="10"/>
  <c r="W59" i="10"/>
  <c r="T59" i="10"/>
  <c r="Q59" i="10"/>
  <c r="N59" i="10"/>
  <c r="K59" i="10"/>
  <c r="H59" i="10"/>
  <c r="C53" i="10"/>
  <c r="A50" i="10"/>
  <c r="AO41" i="10"/>
  <c r="AL41" i="10"/>
  <c r="AI41" i="10"/>
  <c r="AF41" i="10"/>
  <c r="AC41" i="10"/>
  <c r="Z41" i="10"/>
  <c r="W41" i="10"/>
  <c r="T41" i="10"/>
  <c r="Q41" i="10"/>
  <c r="N41" i="10"/>
  <c r="K41" i="10"/>
  <c r="H41" i="10"/>
  <c r="AN40" i="10"/>
  <c r="AM40" i="10"/>
  <c r="AK40" i="10"/>
  <c r="AJ40" i="10"/>
  <c r="AH40" i="10"/>
  <c r="AG40" i="10"/>
  <c r="AE40" i="10"/>
  <c r="AD40" i="10"/>
  <c r="AB40" i="10"/>
  <c r="AA40" i="10"/>
  <c r="Y40" i="10"/>
  <c r="X40" i="10"/>
  <c r="V40" i="10"/>
  <c r="U40" i="10"/>
  <c r="S40" i="10"/>
  <c r="R40" i="10"/>
  <c r="P40" i="10"/>
  <c r="O40" i="10"/>
  <c r="M40" i="10"/>
  <c r="L40" i="10"/>
  <c r="J40" i="10"/>
  <c r="I40" i="10"/>
  <c r="G40" i="10"/>
  <c r="F40" i="10"/>
  <c r="D40" i="10"/>
  <c r="AO39" i="10"/>
  <c r="AL39" i="10"/>
  <c r="AI39" i="10"/>
  <c r="AF39" i="10"/>
  <c r="AC39" i="10"/>
  <c r="Z39" i="10"/>
  <c r="W39" i="10"/>
  <c r="T39" i="10"/>
  <c r="Q39" i="10"/>
  <c r="N39" i="10"/>
  <c r="K39" i="10"/>
  <c r="H39" i="10"/>
  <c r="AO38" i="10"/>
  <c r="AL38" i="10"/>
  <c r="AI38" i="10"/>
  <c r="AF38" i="10"/>
  <c r="AC38" i="10"/>
  <c r="Z38" i="10"/>
  <c r="W38" i="10"/>
  <c r="T38" i="10"/>
  <c r="Q38" i="10"/>
  <c r="N38" i="10"/>
  <c r="K38" i="10"/>
  <c r="H38" i="10"/>
  <c r="AO37" i="10"/>
  <c r="AL37" i="10"/>
  <c r="AL40" i="10" s="1"/>
  <c r="AI37" i="10"/>
  <c r="AF37" i="10"/>
  <c r="AC37" i="10"/>
  <c r="Z37" i="10"/>
  <c r="W37" i="10"/>
  <c r="T37" i="10"/>
  <c r="Q37" i="10"/>
  <c r="N37" i="10"/>
  <c r="K37" i="10"/>
  <c r="H37" i="10"/>
  <c r="AO32" i="10"/>
  <c r="AL32" i="10"/>
  <c r="AI32" i="10"/>
  <c r="AF32" i="10"/>
  <c r="AC32" i="10"/>
  <c r="Z32" i="10"/>
  <c r="W32" i="10"/>
  <c r="T32" i="10"/>
  <c r="Q32" i="10"/>
  <c r="N32" i="10"/>
  <c r="K32" i="10"/>
  <c r="H32" i="10"/>
  <c r="AN31" i="10"/>
  <c r="AM31" i="10"/>
  <c r="AK31" i="10"/>
  <c r="AJ31" i="10"/>
  <c r="AH31" i="10"/>
  <c r="AG31" i="10"/>
  <c r="AE31" i="10"/>
  <c r="AD31" i="10"/>
  <c r="AB31" i="10"/>
  <c r="AA31" i="10"/>
  <c r="Y31" i="10"/>
  <c r="X31" i="10"/>
  <c r="V31" i="10"/>
  <c r="U31" i="10"/>
  <c r="S31" i="10"/>
  <c r="R31" i="10"/>
  <c r="P31" i="10"/>
  <c r="O31" i="10"/>
  <c r="M31" i="10"/>
  <c r="L31" i="10"/>
  <c r="J31" i="10"/>
  <c r="I31" i="10"/>
  <c r="G31" i="10"/>
  <c r="D31" i="10"/>
  <c r="AO30" i="10"/>
  <c r="AL30" i="10"/>
  <c r="AI30" i="10"/>
  <c r="AF30" i="10"/>
  <c r="AC30" i="10"/>
  <c r="Z30" i="10"/>
  <c r="W30" i="10"/>
  <c r="T30" i="10"/>
  <c r="Q30" i="10"/>
  <c r="N30" i="10"/>
  <c r="K30" i="10"/>
  <c r="AO29" i="10"/>
  <c r="AL29" i="10"/>
  <c r="AI29" i="10"/>
  <c r="AF29" i="10"/>
  <c r="AC29" i="10"/>
  <c r="Z29" i="10"/>
  <c r="W29" i="10"/>
  <c r="T29" i="10"/>
  <c r="Q29" i="10"/>
  <c r="N29" i="10"/>
  <c r="K29" i="10"/>
  <c r="H29" i="10"/>
  <c r="AO28" i="10"/>
  <c r="AL28" i="10"/>
  <c r="AI28" i="10"/>
  <c r="AF28" i="10"/>
  <c r="AC28" i="10"/>
  <c r="Z28" i="10"/>
  <c r="W28" i="10"/>
  <c r="T28" i="10"/>
  <c r="Q28" i="10"/>
  <c r="N28" i="10"/>
  <c r="K28" i="10"/>
  <c r="H28" i="10"/>
  <c r="AO27" i="10"/>
  <c r="AL27" i="10"/>
  <c r="AI27" i="10"/>
  <c r="AF27" i="10"/>
  <c r="AC27" i="10"/>
  <c r="Z27" i="10"/>
  <c r="W27" i="10"/>
  <c r="T27" i="10"/>
  <c r="Q27" i="10"/>
  <c r="N27" i="10"/>
  <c r="K27" i="10"/>
  <c r="H27" i="10"/>
  <c r="AO26" i="10"/>
  <c r="AL26" i="10"/>
  <c r="AI26" i="10"/>
  <c r="AF26" i="10"/>
  <c r="AC26" i="10"/>
  <c r="Z26" i="10"/>
  <c r="W26" i="10"/>
  <c r="T26" i="10"/>
  <c r="Q26" i="10"/>
  <c r="N26" i="10"/>
  <c r="K26" i="10"/>
  <c r="H26" i="10"/>
  <c r="AN22" i="10"/>
  <c r="AM22" i="10"/>
  <c r="AM33" i="10" s="1"/>
  <c r="AM42" i="10" s="1"/>
  <c r="AM46" i="10" s="1"/>
  <c r="AM47" i="10" s="1"/>
  <c r="AK22" i="10"/>
  <c r="AJ22" i="10"/>
  <c r="AJ33" i="10" s="1"/>
  <c r="AH22" i="10"/>
  <c r="AG22" i="10"/>
  <c r="AG33" i="10" s="1"/>
  <c r="AE22" i="10"/>
  <c r="AD22" i="10"/>
  <c r="AB22" i="10"/>
  <c r="AA22" i="10"/>
  <c r="Y22" i="10"/>
  <c r="X22" i="10"/>
  <c r="V22" i="10"/>
  <c r="U22" i="10"/>
  <c r="S22" i="10"/>
  <c r="R22" i="10"/>
  <c r="P22" i="10"/>
  <c r="O22" i="10"/>
  <c r="M22" i="10"/>
  <c r="L22" i="10"/>
  <c r="J22" i="10"/>
  <c r="I22" i="10"/>
  <c r="G22" i="10"/>
  <c r="F22" i="10"/>
  <c r="D22" i="10"/>
  <c r="AO21" i="10"/>
  <c r="AL21" i="10"/>
  <c r="AI21" i="10"/>
  <c r="AF21" i="10"/>
  <c r="AC21" i="10"/>
  <c r="Z21" i="10"/>
  <c r="W21" i="10"/>
  <c r="T21" i="10"/>
  <c r="Q21" i="10"/>
  <c r="N21" i="10"/>
  <c r="K21" i="10"/>
  <c r="H21" i="10"/>
  <c r="AO20" i="10"/>
  <c r="AL20" i="10"/>
  <c r="AI20" i="10"/>
  <c r="AF20" i="10"/>
  <c r="AC20" i="10"/>
  <c r="Z20" i="10"/>
  <c r="W20" i="10"/>
  <c r="T20" i="10"/>
  <c r="Q20" i="10"/>
  <c r="N20" i="10"/>
  <c r="K20" i="10"/>
  <c r="H20" i="10"/>
  <c r="AO19" i="10"/>
  <c r="AL19" i="10"/>
  <c r="AI19" i="10"/>
  <c r="AF19" i="10"/>
  <c r="AC19" i="10"/>
  <c r="Z19" i="10"/>
  <c r="W19" i="10"/>
  <c r="T19" i="10"/>
  <c r="Q19" i="10"/>
  <c r="N19" i="10"/>
  <c r="K19" i="10"/>
  <c r="H19" i="10"/>
  <c r="AO18" i="10"/>
  <c r="AL18" i="10"/>
  <c r="AI18" i="10"/>
  <c r="AF18" i="10"/>
  <c r="AC18" i="10"/>
  <c r="Z18" i="10"/>
  <c r="W18" i="10"/>
  <c r="T18" i="10"/>
  <c r="Q18" i="10"/>
  <c r="N18" i="10"/>
  <c r="K18" i="10"/>
  <c r="H18" i="10"/>
  <c r="AO17" i="10"/>
  <c r="AL17" i="10"/>
  <c r="AI17" i="10"/>
  <c r="AF17" i="10"/>
  <c r="AC17" i="10"/>
  <c r="Z17" i="10"/>
  <c r="W17" i="10"/>
  <c r="T17" i="10"/>
  <c r="Q17" i="10"/>
  <c r="N17" i="10"/>
  <c r="K17" i="10"/>
  <c r="H17" i="10"/>
  <c r="AO16" i="10"/>
  <c r="AL16" i="10"/>
  <c r="AI16" i="10"/>
  <c r="AF16" i="10"/>
  <c r="AC16" i="10"/>
  <c r="Z16" i="10"/>
  <c r="W16" i="10"/>
  <c r="T16" i="10"/>
  <c r="Q16" i="10"/>
  <c r="N16" i="10"/>
  <c r="K16" i="10"/>
  <c r="H16" i="10"/>
  <c r="AO15" i="10"/>
  <c r="AL15" i="10"/>
  <c r="AI15" i="10"/>
  <c r="AF15" i="10"/>
  <c r="AC15" i="10"/>
  <c r="Z15" i="10"/>
  <c r="W15" i="10"/>
  <c r="T15" i="10"/>
  <c r="Q15" i="10"/>
  <c r="N15" i="10"/>
  <c r="K15" i="10"/>
  <c r="H15" i="10"/>
  <c r="AO14" i="10"/>
  <c r="AL14" i="10"/>
  <c r="AI14" i="10"/>
  <c r="AF14" i="10"/>
  <c r="AC14" i="10"/>
  <c r="Z14" i="10"/>
  <c r="W14" i="10"/>
  <c r="T14" i="10"/>
  <c r="Q14" i="10"/>
  <c r="N14" i="10"/>
  <c r="K14" i="10"/>
  <c r="H14" i="10"/>
  <c r="AO13" i="10"/>
  <c r="AL13" i="10"/>
  <c r="AI13" i="10"/>
  <c r="AF13" i="10"/>
  <c r="AC13" i="10"/>
  <c r="Z13" i="10"/>
  <c r="W13" i="10"/>
  <c r="T13" i="10"/>
  <c r="Q13" i="10"/>
  <c r="N13" i="10"/>
  <c r="K13" i="10"/>
  <c r="H13" i="10"/>
  <c r="AC12" i="10"/>
  <c r="Z12" i="10"/>
  <c r="W12" i="10"/>
  <c r="T12" i="10"/>
  <c r="Q12" i="10"/>
  <c r="N12" i="10"/>
  <c r="K12" i="10"/>
  <c r="H12" i="10"/>
  <c r="AO11" i="10"/>
  <c r="AL11" i="10"/>
  <c r="AI11" i="10"/>
  <c r="AF11" i="10"/>
  <c r="AC11" i="10"/>
  <c r="Z11" i="10"/>
  <c r="W11" i="10"/>
  <c r="T11" i="10"/>
  <c r="Q11" i="10"/>
  <c r="N11" i="10"/>
  <c r="K11" i="10"/>
  <c r="H11" i="10"/>
  <c r="AC10" i="10"/>
  <c r="Z10" i="10"/>
  <c r="W10" i="10"/>
  <c r="T10" i="10"/>
  <c r="Q10" i="10"/>
  <c r="N10" i="10"/>
  <c r="K10" i="10"/>
  <c r="H10" i="10"/>
  <c r="AC9" i="10"/>
  <c r="Z9" i="10"/>
  <c r="W9" i="10"/>
  <c r="T9" i="10"/>
  <c r="Q9" i="10"/>
  <c r="N9" i="10"/>
  <c r="K9" i="10"/>
  <c r="H9" i="10"/>
  <c r="AC8" i="10"/>
  <c r="Z8" i="10"/>
  <c r="W8" i="10"/>
  <c r="T8" i="10"/>
  <c r="Q8" i="10"/>
  <c r="N8" i="10"/>
  <c r="K8" i="10"/>
  <c r="H8" i="10"/>
  <c r="AO7" i="10"/>
  <c r="AL7" i="10"/>
  <c r="AI7" i="10"/>
  <c r="AF7" i="10"/>
  <c r="AC7" i="10"/>
  <c r="Z7" i="10"/>
  <c r="W7" i="10"/>
  <c r="T7" i="10"/>
  <c r="Q7" i="10"/>
  <c r="N7" i="10"/>
  <c r="K7" i="10"/>
  <c r="H7" i="10"/>
  <c r="Q70" i="7"/>
  <c r="Q71" i="7"/>
  <c r="Q83" i="7"/>
  <c r="Q95" i="7"/>
  <c r="F30" i="7"/>
  <c r="J95" i="7"/>
  <c r="G96" i="7"/>
  <c r="AF40" i="10" l="1"/>
  <c r="N100" i="9"/>
  <c r="AC74" i="9"/>
  <c r="AD66" i="10"/>
  <c r="AO74" i="9"/>
  <c r="AE66" i="10"/>
  <c r="AE74" i="10" s="1"/>
  <c r="N61" i="10"/>
  <c r="AG42" i="10"/>
  <c r="AG46" i="10" s="1"/>
  <c r="AG47" i="10" s="1"/>
  <c r="U97" i="10"/>
  <c r="H73" i="9"/>
  <c r="AF74" i="9"/>
  <c r="AF100" i="9" s="1"/>
  <c r="X100" i="9"/>
  <c r="AH97" i="10"/>
  <c r="AH99" i="10" s="1"/>
  <c r="AJ97" i="10"/>
  <c r="AJ99" i="10" s="1"/>
  <c r="AJ100" i="10" s="1"/>
  <c r="AD100" i="9"/>
  <c r="O66" i="10"/>
  <c r="O74" i="10" s="1"/>
  <c r="AN100" i="9"/>
  <c r="P100" i="9"/>
  <c r="P102" i="9" s="1"/>
  <c r="AL22" i="10"/>
  <c r="M33" i="10"/>
  <c r="M42" i="10" s="1"/>
  <c r="M46" i="10" s="1"/>
  <c r="M47" i="10" s="1"/>
  <c r="P66" i="10"/>
  <c r="AF33" i="9"/>
  <c r="AF42" i="9" s="1"/>
  <c r="AF46" i="9" s="1"/>
  <c r="AF47" i="9" s="1"/>
  <c r="T33" i="9"/>
  <c r="T42" i="9" s="1"/>
  <c r="AM66" i="10"/>
  <c r="AM74" i="10" s="1"/>
  <c r="AI73" i="10"/>
  <c r="AN66" i="10"/>
  <c r="AN74" i="10" s="1"/>
  <c r="T74" i="9"/>
  <c r="T100" i="9" s="1"/>
  <c r="J33" i="10"/>
  <c r="J42" i="10" s="1"/>
  <c r="J46" i="10" s="1"/>
  <c r="J47" i="10" s="1"/>
  <c r="AH33" i="10"/>
  <c r="AH42" i="10" s="1"/>
  <c r="AH46" i="10" s="1"/>
  <c r="AH47" i="10" s="1"/>
  <c r="N73" i="10"/>
  <c r="G100" i="9"/>
  <c r="G102" i="9" s="1"/>
  <c r="AI22" i="10"/>
  <c r="O100" i="9"/>
  <c r="X66" i="10"/>
  <c r="X74" i="10" s="1"/>
  <c r="N33" i="9"/>
  <c r="N42" i="9" s="1"/>
  <c r="AI61" i="10"/>
  <c r="AI66" i="10" s="1"/>
  <c r="AI74" i="10" s="1"/>
  <c r="S66" i="10"/>
  <c r="S74" i="10" s="1"/>
  <c r="Z61" i="10"/>
  <c r="Z66" i="10" s="1"/>
  <c r="AA66" i="10"/>
  <c r="Y97" i="10"/>
  <c r="Y99" i="10" s="1"/>
  <c r="R47" i="9"/>
  <c r="I100" i="9"/>
  <c r="N40" i="10"/>
  <c r="AE99" i="10"/>
  <c r="K33" i="9"/>
  <c r="K42" i="9" s="1"/>
  <c r="K46" i="9" s="1"/>
  <c r="K47" i="9" s="1"/>
  <c r="AF61" i="10"/>
  <c r="AF66" i="10" s="1"/>
  <c r="F66" i="10"/>
  <c r="AL73" i="10"/>
  <c r="AO100" i="9"/>
  <c r="R100" i="9"/>
  <c r="Q42" i="9"/>
  <c r="Q46" i="9" s="1"/>
  <c r="Q47" i="9" s="1"/>
  <c r="G66" i="10"/>
  <c r="AI100" i="9"/>
  <c r="AM100" i="9"/>
  <c r="AL33" i="9"/>
  <c r="AL42" i="9" s="1"/>
  <c r="AL46" i="9" s="1"/>
  <c r="AL47" i="9" s="1"/>
  <c r="W100" i="9"/>
  <c r="AL61" i="10"/>
  <c r="AL66" i="10" s="1"/>
  <c r="AL74" i="10" s="1"/>
  <c r="AC42" i="9"/>
  <c r="AC46" i="9" s="1"/>
  <c r="AC47" i="9" s="1"/>
  <c r="U100" i="9"/>
  <c r="Z40" i="10"/>
  <c r="Y100" i="9"/>
  <c r="Y102" i="9" s="1"/>
  <c r="F100" i="9"/>
  <c r="AL74" i="9"/>
  <c r="AL100" i="9" s="1"/>
  <c r="C14" i="10"/>
  <c r="C18" i="10"/>
  <c r="D33" i="10"/>
  <c r="D42" i="10" s="1"/>
  <c r="D47" i="10" s="1"/>
  <c r="AB33" i="10"/>
  <c r="AB42" i="10" s="1"/>
  <c r="L66" i="10"/>
  <c r="J74" i="9"/>
  <c r="AE33" i="10"/>
  <c r="AE42" i="10" s="1"/>
  <c r="T61" i="10"/>
  <c r="T66" i="10" s="1"/>
  <c r="AE46" i="10"/>
  <c r="AE47" i="10" s="1"/>
  <c r="AB46" i="10"/>
  <c r="AB47" i="10" s="1"/>
  <c r="Z84" i="10"/>
  <c r="D27" i="4"/>
  <c r="T84" i="10"/>
  <c r="D24" i="4"/>
  <c r="Q84" i="10"/>
  <c r="D23" i="4"/>
  <c r="K84" i="10"/>
  <c r="D25" i="4"/>
  <c r="I4" i="10"/>
  <c r="AA4" i="10"/>
  <c r="X4" i="10"/>
  <c r="U4" i="10"/>
  <c r="R4" i="10"/>
  <c r="O4" i="10"/>
  <c r="L4" i="10"/>
  <c r="AC84" i="10"/>
  <c r="D28" i="4"/>
  <c r="W84" i="10"/>
  <c r="D29" i="4"/>
  <c r="P33" i="10"/>
  <c r="P42" i="10" s="1"/>
  <c r="H33" i="9"/>
  <c r="H42" i="9" s="1"/>
  <c r="H46" i="9" s="1"/>
  <c r="H47" i="9" s="1"/>
  <c r="V33" i="10"/>
  <c r="V42" i="10" s="1"/>
  <c r="AN33" i="10"/>
  <c r="AN42" i="10" s="1"/>
  <c r="AN46" i="10" s="1"/>
  <c r="AN47" i="10" s="1"/>
  <c r="AO31" i="10"/>
  <c r="AO33" i="10" s="1"/>
  <c r="W61" i="10"/>
  <c r="W66" i="10" s="1"/>
  <c r="AF97" i="10"/>
  <c r="AF99" i="10" s="1"/>
  <c r="Y33" i="10"/>
  <c r="Y42" i="10" s="1"/>
  <c r="AH66" i="10"/>
  <c r="AH74" i="10" s="1"/>
  <c r="AO22" i="10"/>
  <c r="S100" i="9"/>
  <c r="S102" i="9" s="1"/>
  <c r="C66" i="9"/>
  <c r="AA100" i="9"/>
  <c r="AD33" i="10"/>
  <c r="AD42" i="10" s="1"/>
  <c r="U66" i="10"/>
  <c r="U74" i="10" s="1"/>
  <c r="C40" i="9"/>
  <c r="C31" i="9"/>
  <c r="AO33" i="9"/>
  <c r="AO42" i="9" s="1"/>
  <c r="AO46" i="9" s="1"/>
  <c r="AO47" i="9" s="1"/>
  <c r="AG99" i="10"/>
  <c r="AM97" i="10"/>
  <c r="AM99" i="10" s="1"/>
  <c r="AM100" i="10" s="1"/>
  <c r="AL96" i="10"/>
  <c r="AL97" i="10" s="1"/>
  <c r="AL99" i="10" s="1"/>
  <c r="Q100" i="9"/>
  <c r="J100" i="9"/>
  <c r="J102" i="9" s="1"/>
  <c r="C22" i="9"/>
  <c r="AO73" i="10"/>
  <c r="V97" i="10"/>
  <c r="AN97" i="10"/>
  <c r="AN99" i="10" s="1"/>
  <c r="AN100" i="10" s="1"/>
  <c r="AO96" i="10"/>
  <c r="AO97" i="10" s="1"/>
  <c r="AO99" i="10" s="1"/>
  <c r="AC100" i="9"/>
  <c r="AF96" i="10"/>
  <c r="K61" i="10"/>
  <c r="K66" i="10" s="1"/>
  <c r="Y66" i="10"/>
  <c r="Y74" i="10" s="1"/>
  <c r="AA97" i="10"/>
  <c r="AA99" i="10" s="1"/>
  <c r="M97" i="10"/>
  <c r="AJ42" i="10"/>
  <c r="AJ46" i="10" s="1"/>
  <c r="AJ47" i="10" s="1"/>
  <c r="N66" i="10"/>
  <c r="N74" i="10" s="1"/>
  <c r="AA74" i="10"/>
  <c r="AK99" i="10"/>
  <c r="V66" i="10"/>
  <c r="V74" i="10" s="1"/>
  <c r="S33" i="10"/>
  <c r="S42" i="10" s="1"/>
  <c r="AK33" i="10"/>
  <c r="AK42" i="10" s="1"/>
  <c r="AK46" i="10" s="1"/>
  <c r="AK47" i="10" s="1"/>
  <c r="AI31" i="10"/>
  <c r="J66" i="10"/>
  <c r="AB66" i="10"/>
  <c r="AB74" i="10" s="1"/>
  <c r="AD97" i="10"/>
  <c r="AD99" i="10" s="1"/>
  <c r="M100" i="9"/>
  <c r="M102" i="9" s="1"/>
  <c r="C125" i="10"/>
  <c r="G74" i="10"/>
  <c r="G33" i="10"/>
  <c r="G42" i="10" s="1"/>
  <c r="G46" i="10" s="1"/>
  <c r="Z22" i="10"/>
  <c r="W73" i="10"/>
  <c r="P74" i="10"/>
  <c r="M99" i="10"/>
  <c r="I99" i="10"/>
  <c r="I33" i="10"/>
  <c r="I42" i="10" s="1"/>
  <c r="R97" i="10"/>
  <c r="R99" i="10" s="1"/>
  <c r="T40" i="10"/>
  <c r="AC31" i="10"/>
  <c r="W31" i="10"/>
  <c r="U33" i="10"/>
  <c r="U42" i="10" s="1"/>
  <c r="L33" i="10"/>
  <c r="L42" i="10" s="1"/>
  <c r="L46" i="10" s="1"/>
  <c r="C11" i="10"/>
  <c r="C17" i="10"/>
  <c r="H74" i="9"/>
  <c r="H100" i="9" s="1"/>
  <c r="AI33" i="9"/>
  <c r="AI42" i="9" s="1"/>
  <c r="AI46" i="9" s="1"/>
  <c r="AI47" i="9" s="1"/>
  <c r="W33" i="9"/>
  <c r="W42" i="9" s="1"/>
  <c r="W46" i="9" s="1"/>
  <c r="W47" i="9" s="1"/>
  <c r="Z100" i="9"/>
  <c r="C95" i="9"/>
  <c r="C96" i="9" s="1"/>
  <c r="C97" i="9" s="1"/>
  <c r="C99" i="9" s="1"/>
  <c r="K96" i="9"/>
  <c r="K97" i="9" s="1"/>
  <c r="K99" i="9" s="1"/>
  <c r="K100" i="9" s="1"/>
  <c r="C73" i="9"/>
  <c r="N46" i="9"/>
  <c r="N47" i="9" s="1"/>
  <c r="D34" i="6"/>
  <c r="AB97" i="10"/>
  <c r="AB99" i="10" s="1"/>
  <c r="L97" i="10"/>
  <c r="L99" i="10" s="1"/>
  <c r="L74" i="10"/>
  <c r="N22" i="10"/>
  <c r="X97" i="10"/>
  <c r="X99" i="10" s="1"/>
  <c r="Z96" i="10"/>
  <c r="Z97" i="10" s="1"/>
  <c r="Z99" i="10" s="1"/>
  <c r="Z73" i="10"/>
  <c r="Z74" i="10" s="1"/>
  <c r="X33" i="10"/>
  <c r="X42" i="10" s="1"/>
  <c r="V99" i="10"/>
  <c r="W22" i="10"/>
  <c r="AC96" i="10"/>
  <c r="AC97" i="10" s="1"/>
  <c r="AC73" i="10"/>
  <c r="AA33" i="10"/>
  <c r="AA42" i="10" s="1"/>
  <c r="AC22" i="10"/>
  <c r="J74" i="10"/>
  <c r="K95" i="10"/>
  <c r="K96" i="10" s="1"/>
  <c r="K97" i="10" s="1"/>
  <c r="K31" i="10"/>
  <c r="C10" i="10"/>
  <c r="C9" i="10"/>
  <c r="K22" i="10"/>
  <c r="S97" i="10"/>
  <c r="S99" i="10" s="1"/>
  <c r="T96" i="10"/>
  <c r="T97" i="10" s="1"/>
  <c r="C93" i="10"/>
  <c r="C72" i="10"/>
  <c r="R33" i="10"/>
  <c r="R42" i="10" s="1"/>
  <c r="P97" i="10"/>
  <c r="P99" i="10" s="1"/>
  <c r="Q96" i="10"/>
  <c r="Q97" i="10" s="1"/>
  <c r="O97" i="10"/>
  <c r="O99" i="10" s="1"/>
  <c r="Q73" i="10"/>
  <c r="C70" i="10"/>
  <c r="C38" i="10"/>
  <c r="C28" i="10"/>
  <c r="Q31" i="10"/>
  <c r="O33" i="10"/>
  <c r="O42" i="10" s="1"/>
  <c r="C16" i="10"/>
  <c r="C15" i="10"/>
  <c r="Q22" i="10"/>
  <c r="C8" i="10"/>
  <c r="C13" i="10"/>
  <c r="K73" i="10"/>
  <c r="K74" i="10" s="1"/>
  <c r="C71" i="10"/>
  <c r="G97" i="10"/>
  <c r="G99" i="10" s="1"/>
  <c r="H95" i="10"/>
  <c r="H96" i="10" s="1"/>
  <c r="H97" i="10" s="1"/>
  <c r="F97" i="10"/>
  <c r="F99" i="10" s="1"/>
  <c r="F74" i="10"/>
  <c r="C19" i="10"/>
  <c r="C12" i="10"/>
  <c r="C21" i="10"/>
  <c r="C29" i="10"/>
  <c r="H22" i="10"/>
  <c r="AF22" i="10"/>
  <c r="C20" i="10"/>
  <c r="C37" i="10"/>
  <c r="H61" i="10"/>
  <c r="C59" i="10"/>
  <c r="C60" i="10"/>
  <c r="N96" i="10"/>
  <c r="C94" i="10"/>
  <c r="T22" i="10"/>
  <c r="C26" i="10"/>
  <c r="T31" i="10"/>
  <c r="AF31" i="10"/>
  <c r="C27" i="10"/>
  <c r="K40" i="10"/>
  <c r="W40" i="10"/>
  <c r="AI40" i="10"/>
  <c r="C39" i="10"/>
  <c r="H40" i="10"/>
  <c r="AG66" i="10"/>
  <c r="AG74" i="10" s="1"/>
  <c r="AK66" i="10"/>
  <c r="AK74" i="10" s="1"/>
  <c r="J97" i="10"/>
  <c r="J99" i="10" s="1"/>
  <c r="H84" i="10"/>
  <c r="C83" i="10"/>
  <c r="C7" i="10"/>
  <c r="N31" i="10"/>
  <c r="Z31" i="10"/>
  <c r="AL31" i="10"/>
  <c r="AL33" i="10" s="1"/>
  <c r="AL42" i="10" s="1"/>
  <c r="AL46" i="10" s="1"/>
  <c r="AL47" i="10" s="1"/>
  <c r="F31" i="10"/>
  <c r="F33" i="10" s="1"/>
  <c r="F42" i="10" s="1"/>
  <c r="F46" i="10" s="1"/>
  <c r="H30" i="10"/>
  <c r="C30" i="10" s="1"/>
  <c r="Q40" i="10"/>
  <c r="AC40" i="10"/>
  <c r="AO40" i="10"/>
  <c r="I66" i="10"/>
  <c r="I74" i="10" s="1"/>
  <c r="M66" i="10"/>
  <c r="M74" i="10" s="1"/>
  <c r="N89" i="10"/>
  <c r="C88" i="10"/>
  <c r="C92" i="10"/>
  <c r="Q61" i="10"/>
  <c r="Q66" i="10" s="1"/>
  <c r="AC61" i="10"/>
  <c r="AC66" i="10" s="1"/>
  <c r="AO61" i="10"/>
  <c r="AO66" i="10" s="1"/>
  <c r="R74" i="10"/>
  <c r="H65" i="10"/>
  <c r="H73" i="10"/>
  <c r="C69" i="10"/>
  <c r="T73" i="10"/>
  <c r="T74" i="10" s="1"/>
  <c r="AF73" i="10"/>
  <c r="AF74" i="10" s="1"/>
  <c r="W96" i="10"/>
  <c r="W97" i="10" s="1"/>
  <c r="W99" i="10" s="1"/>
  <c r="AI96" i="10"/>
  <c r="AI97" i="10" s="1"/>
  <c r="AI99" i="10" s="1"/>
  <c r="AD74" i="10"/>
  <c r="U99" i="10"/>
  <c r="G71" i="7"/>
  <c r="H39" i="7"/>
  <c r="K39" i="7"/>
  <c r="N39" i="7"/>
  <c r="Q39" i="7"/>
  <c r="T39" i="7"/>
  <c r="W39" i="7"/>
  <c r="Z39" i="7"/>
  <c r="AC39" i="7"/>
  <c r="AF39" i="7"/>
  <c r="AI39" i="7"/>
  <c r="AL39" i="7"/>
  <c r="AO39" i="7"/>
  <c r="F4" i="7"/>
  <c r="C130" i="8"/>
  <c r="X126" i="8"/>
  <c r="U126" i="8"/>
  <c r="R126" i="8"/>
  <c r="L126" i="8"/>
  <c r="O124" i="8"/>
  <c r="C124" i="8"/>
  <c r="I123" i="8"/>
  <c r="C123" i="8" s="1"/>
  <c r="C122" i="8"/>
  <c r="O121" i="8"/>
  <c r="C121" i="8" s="1"/>
  <c r="C120" i="8"/>
  <c r="F119" i="8"/>
  <c r="C119" i="8" s="1"/>
  <c r="F118" i="8"/>
  <c r="F126" i="8" s="1"/>
  <c r="I117" i="8"/>
  <c r="C116" i="8"/>
  <c r="C115" i="8"/>
  <c r="C114" i="8"/>
  <c r="C113" i="8"/>
  <c r="C112" i="8"/>
  <c r="C111" i="8"/>
  <c r="C110" i="8"/>
  <c r="AN97" i="8"/>
  <c r="AM97" i="8"/>
  <c r="AK97" i="8"/>
  <c r="AJ97" i="8"/>
  <c r="AH97" i="8"/>
  <c r="AG97" i="8"/>
  <c r="AE97" i="8"/>
  <c r="AD97" i="8"/>
  <c r="AB97" i="8"/>
  <c r="AA97" i="8"/>
  <c r="Y97" i="8"/>
  <c r="X97" i="8"/>
  <c r="V97" i="8"/>
  <c r="U97" i="8"/>
  <c r="R97" i="8"/>
  <c r="P97" i="8"/>
  <c r="O97" i="8"/>
  <c r="M97" i="8"/>
  <c r="L97" i="8"/>
  <c r="J97" i="8"/>
  <c r="I97" i="8"/>
  <c r="I98" i="8" s="1"/>
  <c r="G97" i="8"/>
  <c r="F97" i="8"/>
  <c r="AO96" i="8"/>
  <c r="AL96" i="8"/>
  <c r="AI96" i="8"/>
  <c r="AF96" i="8"/>
  <c r="AC96" i="8"/>
  <c r="Z96" i="8"/>
  <c r="W96" i="8"/>
  <c r="S96" i="8"/>
  <c r="S97" i="8" s="1"/>
  <c r="Q96" i="8"/>
  <c r="N96" i="8"/>
  <c r="K96" i="8"/>
  <c r="H96" i="8"/>
  <c r="AO95" i="8"/>
  <c r="AL95" i="8"/>
  <c r="AI95" i="8"/>
  <c r="AF95" i="8"/>
  <c r="AC95" i="8"/>
  <c r="Z95" i="8"/>
  <c r="W95" i="8"/>
  <c r="T95" i="8"/>
  <c r="Q95" i="8"/>
  <c r="N95" i="8"/>
  <c r="K95" i="8"/>
  <c r="H95" i="8"/>
  <c r="AO94" i="8"/>
  <c r="AL94" i="8"/>
  <c r="AI94" i="8"/>
  <c r="AF94" i="8"/>
  <c r="AC94" i="8"/>
  <c r="Z94" i="8"/>
  <c r="W94" i="8"/>
  <c r="T94" i="8"/>
  <c r="Q94" i="8"/>
  <c r="N94" i="8"/>
  <c r="K94" i="8"/>
  <c r="H94" i="8"/>
  <c r="AO93" i="8"/>
  <c r="AL93" i="8"/>
  <c r="AI93" i="8"/>
  <c r="AF93" i="8"/>
  <c r="AC93" i="8"/>
  <c r="Z93" i="8"/>
  <c r="W93" i="8"/>
  <c r="T93" i="8"/>
  <c r="Q93" i="8"/>
  <c r="N93" i="8"/>
  <c r="K93" i="8"/>
  <c r="H93" i="8"/>
  <c r="AN90" i="8"/>
  <c r="AM90" i="8"/>
  <c r="AK90" i="8"/>
  <c r="AJ90" i="8"/>
  <c r="AH90" i="8"/>
  <c r="AG90" i="8"/>
  <c r="AE90" i="8"/>
  <c r="AD90" i="8"/>
  <c r="AB90" i="8"/>
  <c r="AA90" i="8"/>
  <c r="Y90" i="8"/>
  <c r="X90" i="8"/>
  <c r="X98" i="8" s="1"/>
  <c r="V90" i="8"/>
  <c r="U90" i="8"/>
  <c r="U98" i="8" s="1"/>
  <c r="S90" i="8"/>
  <c r="R90" i="8"/>
  <c r="R98" i="8" s="1"/>
  <c r="P90" i="8"/>
  <c r="O90" i="8"/>
  <c r="M90" i="8"/>
  <c r="L90" i="8"/>
  <c r="J90" i="8"/>
  <c r="I90" i="8"/>
  <c r="G90" i="8"/>
  <c r="F90" i="8"/>
  <c r="AO89" i="8"/>
  <c r="AO90" i="8" s="1"/>
  <c r="AL89" i="8"/>
  <c r="AL90" i="8" s="1"/>
  <c r="AI89" i="8"/>
  <c r="AI90" i="8" s="1"/>
  <c r="AF89" i="8"/>
  <c r="AF90" i="8" s="1"/>
  <c r="AC89" i="8"/>
  <c r="AC90" i="8" s="1"/>
  <c r="Z89" i="8"/>
  <c r="Z90" i="8" s="1"/>
  <c r="W89" i="8"/>
  <c r="W90" i="8" s="1"/>
  <c r="T89" i="8"/>
  <c r="T90" i="8" s="1"/>
  <c r="Q89" i="8"/>
  <c r="Q90" i="8" s="1"/>
  <c r="N89" i="8"/>
  <c r="N90" i="8" s="1"/>
  <c r="K89" i="8"/>
  <c r="K90" i="8" s="1"/>
  <c r="H89" i="8"/>
  <c r="H90" i="8" s="1"/>
  <c r="AO88" i="8"/>
  <c r="AL88" i="8"/>
  <c r="AI88" i="8"/>
  <c r="AF88" i="8"/>
  <c r="AC88" i="8"/>
  <c r="Z88" i="8"/>
  <c r="W88" i="8"/>
  <c r="T88" i="8"/>
  <c r="Q88" i="8"/>
  <c r="N88" i="8"/>
  <c r="K88" i="8"/>
  <c r="H88" i="8"/>
  <c r="AO87" i="8"/>
  <c r="AL87" i="8"/>
  <c r="AI87" i="8"/>
  <c r="AF87" i="8"/>
  <c r="AC87" i="8"/>
  <c r="Z87" i="8"/>
  <c r="W87" i="8"/>
  <c r="T87" i="8"/>
  <c r="Q87" i="8"/>
  <c r="N87" i="8"/>
  <c r="K87" i="8"/>
  <c r="H87" i="8"/>
  <c r="AN85" i="8"/>
  <c r="AM85" i="8"/>
  <c r="AK85" i="8"/>
  <c r="AJ85" i="8"/>
  <c r="AH85" i="8"/>
  <c r="AG85" i="8"/>
  <c r="AE85" i="8"/>
  <c r="AB85" i="8"/>
  <c r="AA85" i="8"/>
  <c r="Y85" i="8"/>
  <c r="X85" i="8"/>
  <c r="V85" i="8"/>
  <c r="U85" i="8"/>
  <c r="S85" i="8"/>
  <c r="R85" i="8"/>
  <c r="P85" i="8"/>
  <c r="O85" i="8"/>
  <c r="M85" i="8"/>
  <c r="L85" i="8"/>
  <c r="J85" i="8"/>
  <c r="I85" i="8"/>
  <c r="G85" i="8"/>
  <c r="F85" i="8"/>
  <c r="AO84" i="8"/>
  <c r="AO85" i="8" s="1"/>
  <c r="AL84" i="8"/>
  <c r="AL85" i="8" s="1"/>
  <c r="AI84" i="8"/>
  <c r="AI85" i="8" s="1"/>
  <c r="AD84" i="8"/>
  <c r="AF84" i="8" s="1"/>
  <c r="AF85" i="8" s="1"/>
  <c r="AC84" i="8"/>
  <c r="AC85" i="8" s="1"/>
  <c r="Z84" i="8"/>
  <c r="Z85" i="8" s="1"/>
  <c r="W84" i="8"/>
  <c r="W85" i="8" s="1"/>
  <c r="T84" i="8"/>
  <c r="T85" i="8" s="1"/>
  <c r="Q84" i="8"/>
  <c r="Q85" i="8" s="1"/>
  <c r="N84" i="8"/>
  <c r="N85" i="8" s="1"/>
  <c r="K84" i="8"/>
  <c r="K85" i="8" s="1"/>
  <c r="H84" i="8"/>
  <c r="C82" i="8"/>
  <c r="AN74" i="8"/>
  <c r="AM74" i="8"/>
  <c r="AK74" i="8"/>
  <c r="AJ74" i="8"/>
  <c r="AH74" i="8"/>
  <c r="AG74" i="8"/>
  <c r="AE74" i="8"/>
  <c r="AD74" i="8"/>
  <c r="AB74" i="8"/>
  <c r="AA74" i="8"/>
  <c r="Y74" i="8"/>
  <c r="X74" i="8"/>
  <c r="V74" i="8"/>
  <c r="U74" i="8"/>
  <c r="S74" i="8"/>
  <c r="R74" i="8"/>
  <c r="P74" i="8"/>
  <c r="O74" i="8"/>
  <c r="M74" i="8"/>
  <c r="L74" i="8"/>
  <c r="J74" i="8"/>
  <c r="I74" i="8"/>
  <c r="F74" i="8"/>
  <c r="AO73" i="8"/>
  <c r="AL73" i="8"/>
  <c r="AI73" i="8"/>
  <c r="AF73" i="8"/>
  <c r="AC73" i="8"/>
  <c r="Z73" i="8"/>
  <c r="W73" i="8"/>
  <c r="T73" i="8"/>
  <c r="Q73" i="8"/>
  <c r="N73" i="8"/>
  <c r="K73" i="8"/>
  <c r="H73" i="8"/>
  <c r="AO72" i="8"/>
  <c r="AL72" i="8"/>
  <c r="AI72" i="8"/>
  <c r="AF72" i="8"/>
  <c r="AC72" i="8"/>
  <c r="Z72" i="8"/>
  <c r="W72" i="8"/>
  <c r="T72" i="8"/>
  <c r="Q72" i="8"/>
  <c r="N72" i="8"/>
  <c r="K72" i="8"/>
  <c r="G72" i="8"/>
  <c r="H72" i="8" s="1"/>
  <c r="AO71" i="8"/>
  <c r="AL71" i="8"/>
  <c r="AI71" i="8"/>
  <c r="AF71" i="8"/>
  <c r="AC71" i="8"/>
  <c r="Z71" i="8"/>
  <c r="W71" i="8"/>
  <c r="T71" i="8"/>
  <c r="Q71" i="8"/>
  <c r="N71" i="8"/>
  <c r="K71" i="8"/>
  <c r="H71" i="8"/>
  <c r="AO70" i="8"/>
  <c r="AL70" i="8"/>
  <c r="AI70" i="8"/>
  <c r="AF70" i="8"/>
  <c r="AC70" i="8"/>
  <c r="Z70" i="8"/>
  <c r="W70" i="8"/>
  <c r="T70" i="8"/>
  <c r="Q70" i="8"/>
  <c r="N70" i="8"/>
  <c r="K70" i="8"/>
  <c r="H70" i="8"/>
  <c r="AO65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G65" i="8"/>
  <c r="F65" i="8"/>
  <c r="H64" i="8"/>
  <c r="C64" i="8" s="1"/>
  <c r="C65" i="8" s="1"/>
  <c r="AN61" i="8"/>
  <c r="AM61" i="8"/>
  <c r="AK61" i="8"/>
  <c r="AJ61" i="8"/>
  <c r="AH61" i="8"/>
  <c r="AG61" i="8"/>
  <c r="AE61" i="8"/>
  <c r="AE66" i="8" s="1"/>
  <c r="AD61" i="8"/>
  <c r="AB61" i="8"/>
  <c r="AB66" i="8" s="1"/>
  <c r="AB75" i="8" s="1"/>
  <c r="AA61" i="8"/>
  <c r="Y61" i="8"/>
  <c r="X61" i="8"/>
  <c r="V61" i="8"/>
  <c r="U61" i="8"/>
  <c r="S61" i="8"/>
  <c r="R61" i="8"/>
  <c r="P61" i="8"/>
  <c r="O61" i="8"/>
  <c r="M61" i="8"/>
  <c r="L61" i="8"/>
  <c r="J61" i="8"/>
  <c r="I61" i="8"/>
  <c r="G61" i="8"/>
  <c r="F61" i="8"/>
  <c r="F66" i="8" s="1"/>
  <c r="F75" i="8" s="1"/>
  <c r="AO60" i="8"/>
  <c r="AL60" i="8"/>
  <c r="AI60" i="8"/>
  <c r="AF60" i="8"/>
  <c r="AC60" i="8"/>
  <c r="Z60" i="8"/>
  <c r="W60" i="8"/>
  <c r="T60" i="8"/>
  <c r="Q60" i="8"/>
  <c r="N60" i="8"/>
  <c r="K60" i="8"/>
  <c r="H60" i="8"/>
  <c r="AO59" i="8"/>
  <c r="AL59" i="8"/>
  <c r="AI59" i="8"/>
  <c r="AF59" i="8"/>
  <c r="AC59" i="8"/>
  <c r="Z59" i="8"/>
  <c r="W59" i="8"/>
  <c r="T59" i="8"/>
  <c r="Q59" i="8"/>
  <c r="N59" i="8"/>
  <c r="K59" i="8"/>
  <c r="K61" i="8" s="1"/>
  <c r="H59" i="8"/>
  <c r="C53" i="8"/>
  <c r="A50" i="8"/>
  <c r="S47" i="8"/>
  <c r="AO41" i="8"/>
  <c r="AL41" i="8"/>
  <c r="AI41" i="8"/>
  <c r="AF41" i="8"/>
  <c r="AC41" i="8"/>
  <c r="Z41" i="8"/>
  <c r="W41" i="8"/>
  <c r="T41" i="8"/>
  <c r="Q41" i="8"/>
  <c r="N41" i="8"/>
  <c r="K41" i="8"/>
  <c r="H41" i="8"/>
  <c r="AN40" i="8"/>
  <c r="AM40" i="8"/>
  <c r="AK40" i="8"/>
  <c r="AJ40" i="8"/>
  <c r="AH40" i="8"/>
  <c r="AG40" i="8"/>
  <c r="AE40" i="8"/>
  <c r="AD40" i="8"/>
  <c r="AB40" i="8"/>
  <c r="AA40" i="8"/>
  <c r="Y40" i="8"/>
  <c r="X40" i="8"/>
  <c r="V40" i="8"/>
  <c r="U40" i="8"/>
  <c r="S40" i="8"/>
  <c r="R40" i="8"/>
  <c r="P40" i="8"/>
  <c r="O40" i="8"/>
  <c r="M40" i="8"/>
  <c r="L40" i="8"/>
  <c r="J40" i="8"/>
  <c r="I40" i="8"/>
  <c r="G40" i="8"/>
  <c r="F40" i="8"/>
  <c r="D40" i="8"/>
  <c r="AO39" i="8"/>
  <c r="AL39" i="8"/>
  <c r="AI39" i="8"/>
  <c r="AF39" i="8"/>
  <c r="AC39" i="8"/>
  <c r="Z39" i="8"/>
  <c r="W39" i="8"/>
  <c r="T39" i="8"/>
  <c r="Q39" i="8"/>
  <c r="N39" i="8"/>
  <c r="K39" i="8"/>
  <c r="H39" i="8"/>
  <c r="AO38" i="8"/>
  <c r="AL38" i="8"/>
  <c r="AI38" i="8"/>
  <c r="AF38" i="8"/>
  <c r="AC38" i="8"/>
  <c r="Z38" i="8"/>
  <c r="W38" i="8"/>
  <c r="T38" i="8"/>
  <c r="Q38" i="8"/>
  <c r="N38" i="8"/>
  <c r="K38" i="8"/>
  <c r="H38" i="8"/>
  <c r="AO37" i="8"/>
  <c r="AL37" i="8"/>
  <c r="AI37" i="8"/>
  <c r="AF37" i="8"/>
  <c r="AC37" i="8"/>
  <c r="Z37" i="8"/>
  <c r="W37" i="8"/>
  <c r="T37" i="8"/>
  <c r="Q37" i="8"/>
  <c r="N37" i="8"/>
  <c r="K37" i="8"/>
  <c r="H37" i="8"/>
  <c r="AO32" i="8"/>
  <c r="AL32" i="8"/>
  <c r="AI32" i="8"/>
  <c r="AF32" i="8"/>
  <c r="AC32" i="8"/>
  <c r="Z32" i="8"/>
  <c r="W32" i="8"/>
  <c r="T32" i="8"/>
  <c r="Q32" i="8"/>
  <c r="N32" i="8"/>
  <c r="K32" i="8"/>
  <c r="H32" i="8"/>
  <c r="AN31" i="8"/>
  <c r="AM31" i="8"/>
  <c r="AK31" i="8"/>
  <c r="AJ31" i="8"/>
  <c r="AH31" i="8"/>
  <c r="AG31" i="8"/>
  <c r="AE31" i="8"/>
  <c r="AB31" i="8"/>
  <c r="AA31" i="8"/>
  <c r="Y31" i="8"/>
  <c r="X31" i="8"/>
  <c r="V31" i="8"/>
  <c r="U31" i="8"/>
  <c r="S31" i="8"/>
  <c r="R31" i="8"/>
  <c r="P31" i="8"/>
  <c r="O31" i="8"/>
  <c r="M31" i="8"/>
  <c r="L31" i="8"/>
  <c r="J31" i="8"/>
  <c r="I31" i="8"/>
  <c r="G31" i="8"/>
  <c r="D31" i="8"/>
  <c r="AO30" i="8"/>
  <c r="AL30" i="8"/>
  <c r="AI30" i="8"/>
  <c r="AD30" i="8"/>
  <c r="AD31" i="8" s="1"/>
  <c r="AC30" i="8"/>
  <c r="Z30" i="8"/>
  <c r="W30" i="8"/>
  <c r="T30" i="8"/>
  <c r="Q30" i="8"/>
  <c r="N30" i="8"/>
  <c r="K30" i="8"/>
  <c r="F30" i="8"/>
  <c r="H30" i="8" s="1"/>
  <c r="AO29" i="8"/>
  <c r="AL29" i="8"/>
  <c r="AI29" i="8"/>
  <c r="AF29" i="8"/>
  <c r="AC29" i="8"/>
  <c r="Z29" i="8"/>
  <c r="W29" i="8"/>
  <c r="T29" i="8"/>
  <c r="Q29" i="8"/>
  <c r="N29" i="8"/>
  <c r="K29" i="8"/>
  <c r="H29" i="8"/>
  <c r="AO28" i="8"/>
  <c r="AL28" i="8"/>
  <c r="AI28" i="8"/>
  <c r="AF28" i="8"/>
  <c r="AC28" i="8"/>
  <c r="Z28" i="8"/>
  <c r="W28" i="8"/>
  <c r="T28" i="8"/>
  <c r="Q28" i="8"/>
  <c r="N28" i="8"/>
  <c r="K28" i="8"/>
  <c r="H28" i="8"/>
  <c r="AO27" i="8"/>
  <c r="AL27" i="8"/>
  <c r="AI27" i="8"/>
  <c r="AF27" i="8"/>
  <c r="AC27" i="8"/>
  <c r="Z27" i="8"/>
  <c r="W27" i="8"/>
  <c r="T27" i="8"/>
  <c r="Q27" i="8"/>
  <c r="N27" i="8"/>
  <c r="K27" i="8"/>
  <c r="H27" i="8"/>
  <c r="AO26" i="8"/>
  <c r="AL26" i="8"/>
  <c r="AI26" i="8"/>
  <c r="AF26" i="8"/>
  <c r="AC26" i="8"/>
  <c r="Z26" i="8"/>
  <c r="W26" i="8"/>
  <c r="T26" i="8"/>
  <c r="Q26" i="8"/>
  <c r="N26" i="8"/>
  <c r="K26" i="8"/>
  <c r="H26" i="8"/>
  <c r="AN22" i="8"/>
  <c r="AN33" i="8" s="1"/>
  <c r="AM22" i="8"/>
  <c r="AK22" i="8"/>
  <c r="AK33" i="8" s="1"/>
  <c r="AJ22" i="8"/>
  <c r="AJ33" i="8" s="1"/>
  <c r="AJ42" i="8" s="1"/>
  <c r="AJ46" i="8" s="1"/>
  <c r="AJ47" i="8" s="1"/>
  <c r="AH22" i="8"/>
  <c r="AG22" i="8"/>
  <c r="AE22" i="8"/>
  <c r="AD22" i="8"/>
  <c r="AB22" i="8"/>
  <c r="AB33" i="8" s="1"/>
  <c r="AA22" i="8"/>
  <c r="Y22" i="8"/>
  <c r="Y33" i="8" s="1"/>
  <c r="Y42" i="8" s="1"/>
  <c r="Y46" i="8" s="1"/>
  <c r="Y47" i="8" s="1"/>
  <c r="X22" i="8"/>
  <c r="V22" i="8"/>
  <c r="V33" i="8" s="1"/>
  <c r="V42" i="8" s="1"/>
  <c r="V46" i="8" s="1"/>
  <c r="V47" i="8" s="1"/>
  <c r="U22" i="8"/>
  <c r="S22" i="8"/>
  <c r="R22" i="8"/>
  <c r="P22" i="8"/>
  <c r="O22" i="8"/>
  <c r="M22" i="8"/>
  <c r="M33" i="8" s="1"/>
  <c r="L22" i="8"/>
  <c r="J22" i="8"/>
  <c r="J33" i="8" s="1"/>
  <c r="I22" i="8"/>
  <c r="G22" i="8"/>
  <c r="G33" i="8" s="1"/>
  <c r="G42" i="8" s="1"/>
  <c r="G46" i="8" s="1"/>
  <c r="G47" i="8" s="1"/>
  <c r="D22" i="8"/>
  <c r="AO21" i="8"/>
  <c r="AL21" i="8"/>
  <c r="AI21" i="8"/>
  <c r="AF21" i="8"/>
  <c r="AC21" i="8"/>
  <c r="Z21" i="8"/>
  <c r="W21" i="8"/>
  <c r="T21" i="8"/>
  <c r="Q21" i="8"/>
  <c r="N21" i="8"/>
  <c r="K21" i="8"/>
  <c r="H21" i="8"/>
  <c r="AO20" i="8"/>
  <c r="AL20" i="8"/>
  <c r="AI20" i="8"/>
  <c r="AF20" i="8"/>
  <c r="AC20" i="8"/>
  <c r="Z20" i="8"/>
  <c r="W20" i="8"/>
  <c r="T20" i="8"/>
  <c r="Q20" i="8"/>
  <c r="N20" i="8"/>
  <c r="K20" i="8"/>
  <c r="H20" i="8"/>
  <c r="AO19" i="8"/>
  <c r="AL19" i="8"/>
  <c r="AI19" i="8"/>
  <c r="AF19" i="8"/>
  <c r="AC19" i="8"/>
  <c r="Z19" i="8"/>
  <c r="W19" i="8"/>
  <c r="T19" i="8"/>
  <c r="Q19" i="8"/>
  <c r="N19" i="8"/>
  <c r="K19" i="8"/>
  <c r="H19" i="8"/>
  <c r="AO18" i="8"/>
  <c r="AL18" i="8"/>
  <c r="AI18" i="8"/>
  <c r="AF18" i="8"/>
  <c r="AC18" i="8"/>
  <c r="Z18" i="8"/>
  <c r="W18" i="8"/>
  <c r="T18" i="8"/>
  <c r="Q18" i="8"/>
  <c r="N18" i="8"/>
  <c r="K18" i="8"/>
  <c r="F18" i="8"/>
  <c r="F22" i="8" s="1"/>
  <c r="AO17" i="8"/>
  <c r="AL17" i="8"/>
  <c r="AI17" i="8"/>
  <c r="AF17" i="8"/>
  <c r="AC17" i="8"/>
  <c r="Z17" i="8"/>
  <c r="W17" i="8"/>
  <c r="T17" i="8"/>
  <c r="Q17" i="8"/>
  <c r="N17" i="8"/>
  <c r="K17" i="8"/>
  <c r="H17" i="8"/>
  <c r="AO16" i="8"/>
  <c r="AL16" i="8"/>
  <c r="AI16" i="8"/>
  <c r="AF16" i="8"/>
  <c r="AC16" i="8"/>
  <c r="Z16" i="8"/>
  <c r="W16" i="8"/>
  <c r="T16" i="8"/>
  <c r="Q16" i="8"/>
  <c r="N16" i="8"/>
  <c r="K16" i="8"/>
  <c r="H16" i="8"/>
  <c r="AO15" i="8"/>
  <c r="AL15" i="8"/>
  <c r="AI15" i="8"/>
  <c r="AF15" i="8"/>
  <c r="AC15" i="8"/>
  <c r="Z15" i="8"/>
  <c r="W15" i="8"/>
  <c r="T15" i="8"/>
  <c r="Q15" i="8"/>
  <c r="N15" i="8"/>
  <c r="K15" i="8"/>
  <c r="H15" i="8"/>
  <c r="AO14" i="8"/>
  <c r="AL14" i="8"/>
  <c r="AI14" i="8"/>
  <c r="AF14" i="8"/>
  <c r="AC14" i="8"/>
  <c r="Z14" i="8"/>
  <c r="W14" i="8"/>
  <c r="T14" i="8"/>
  <c r="Q14" i="8"/>
  <c r="N14" i="8"/>
  <c r="K14" i="8"/>
  <c r="H14" i="8"/>
  <c r="AO13" i="8"/>
  <c r="AL13" i="8"/>
  <c r="AI13" i="8"/>
  <c r="AF13" i="8"/>
  <c r="AC13" i="8"/>
  <c r="Z13" i="8"/>
  <c r="W13" i="8"/>
  <c r="T13" i="8"/>
  <c r="Q13" i="8"/>
  <c r="N13" i="8"/>
  <c r="K13" i="8"/>
  <c r="H13" i="8"/>
  <c r="AC12" i="8"/>
  <c r="Z12" i="8"/>
  <c r="W12" i="8"/>
  <c r="T12" i="8"/>
  <c r="Q12" i="8"/>
  <c r="N12" i="8"/>
  <c r="K12" i="8"/>
  <c r="H12" i="8"/>
  <c r="AO11" i="8"/>
  <c r="AL11" i="8"/>
  <c r="AI11" i="8"/>
  <c r="AF11" i="8"/>
  <c r="AC11" i="8"/>
  <c r="Z11" i="8"/>
  <c r="W11" i="8"/>
  <c r="T11" i="8"/>
  <c r="Q11" i="8"/>
  <c r="N11" i="8"/>
  <c r="K11" i="8"/>
  <c r="H11" i="8"/>
  <c r="AC10" i="8"/>
  <c r="Z10" i="8"/>
  <c r="W10" i="8"/>
  <c r="T10" i="8"/>
  <c r="Q10" i="8"/>
  <c r="N10" i="8"/>
  <c r="K10" i="8"/>
  <c r="H10" i="8"/>
  <c r="AC9" i="8"/>
  <c r="Z9" i="8"/>
  <c r="W9" i="8"/>
  <c r="T9" i="8"/>
  <c r="Q9" i="8"/>
  <c r="N9" i="8"/>
  <c r="K9" i="8"/>
  <c r="H9" i="8"/>
  <c r="AC8" i="8"/>
  <c r="Z8" i="8"/>
  <c r="W8" i="8"/>
  <c r="T8" i="8"/>
  <c r="Q8" i="8"/>
  <c r="N8" i="8"/>
  <c r="K8" i="8"/>
  <c r="H8" i="8"/>
  <c r="AO7" i="8"/>
  <c r="AL7" i="8"/>
  <c r="AI7" i="8"/>
  <c r="AF7" i="8"/>
  <c r="AC7" i="8"/>
  <c r="Z7" i="8"/>
  <c r="W7" i="8"/>
  <c r="T7" i="8"/>
  <c r="Q7" i="8"/>
  <c r="N7" i="8"/>
  <c r="K7" i="8"/>
  <c r="H7" i="8"/>
  <c r="C79" i="1"/>
  <c r="A77" i="1"/>
  <c r="C130" i="2"/>
  <c r="C129" i="7"/>
  <c r="X126" i="2"/>
  <c r="U126" i="2"/>
  <c r="R126" i="2"/>
  <c r="O126" i="2"/>
  <c r="L126" i="2"/>
  <c r="I126" i="2"/>
  <c r="F119" i="2"/>
  <c r="C119" i="2" s="1"/>
  <c r="C124" i="2"/>
  <c r="C123" i="2"/>
  <c r="C122" i="2"/>
  <c r="C121" i="2"/>
  <c r="C120" i="2"/>
  <c r="C118" i="2"/>
  <c r="C117" i="2"/>
  <c r="C116" i="2"/>
  <c r="C115" i="2"/>
  <c r="C114" i="2"/>
  <c r="C113" i="2"/>
  <c r="C112" i="2"/>
  <c r="C111" i="2"/>
  <c r="C110" i="2"/>
  <c r="C121" i="7"/>
  <c r="C119" i="7"/>
  <c r="C110" i="7"/>
  <c r="C111" i="7"/>
  <c r="C112" i="7"/>
  <c r="C113" i="7"/>
  <c r="C114" i="7"/>
  <c r="C115" i="7"/>
  <c r="C123" i="7"/>
  <c r="C122" i="7"/>
  <c r="C118" i="7"/>
  <c r="C117" i="7"/>
  <c r="AO20" i="7"/>
  <c r="AL20" i="7"/>
  <c r="AI20" i="7"/>
  <c r="AF20" i="7"/>
  <c r="AC20" i="7"/>
  <c r="Z20" i="7"/>
  <c r="W20" i="7"/>
  <c r="T20" i="7"/>
  <c r="Q20" i="7"/>
  <c r="N20" i="7"/>
  <c r="K20" i="7"/>
  <c r="H20" i="7"/>
  <c r="AN97" i="2"/>
  <c r="AM97" i="2"/>
  <c r="AO96" i="2"/>
  <c r="AO95" i="2"/>
  <c r="AO94" i="2"/>
  <c r="AO93" i="2"/>
  <c r="AN90" i="2"/>
  <c r="AM90" i="2"/>
  <c r="AO89" i="2"/>
  <c r="AO90" i="2" s="1"/>
  <c r="AO88" i="2"/>
  <c r="AO87" i="2"/>
  <c r="AN85" i="2"/>
  <c r="AM85" i="2"/>
  <c r="AO84" i="2"/>
  <c r="AO85" i="2" s="1"/>
  <c r="AN74" i="2"/>
  <c r="AM74" i="2"/>
  <c r="AO73" i="2"/>
  <c r="AO72" i="2"/>
  <c r="AO71" i="2"/>
  <c r="AO70" i="2"/>
  <c r="AO65" i="2"/>
  <c r="AN65" i="2"/>
  <c r="AM65" i="2"/>
  <c r="AN61" i="2"/>
  <c r="AM61" i="2"/>
  <c r="AO60" i="2"/>
  <c r="AO59" i="2"/>
  <c r="AO41" i="2"/>
  <c r="AN40" i="2"/>
  <c r="AM40" i="2"/>
  <c r="AO39" i="2"/>
  <c r="AO38" i="2"/>
  <c r="AO37" i="2"/>
  <c r="AO32" i="2"/>
  <c r="AN31" i="2"/>
  <c r="AM31" i="2"/>
  <c r="AO30" i="2"/>
  <c r="AO29" i="2"/>
  <c r="AO28" i="2"/>
  <c r="AO27" i="2"/>
  <c r="AO26" i="2"/>
  <c r="AN22" i="2"/>
  <c r="AM22" i="2"/>
  <c r="AO21" i="2"/>
  <c r="AO19" i="2"/>
  <c r="AO18" i="2"/>
  <c r="AO17" i="2"/>
  <c r="AO16" i="2"/>
  <c r="AO15" i="2"/>
  <c r="AO14" i="2"/>
  <c r="AO13" i="2"/>
  <c r="AO11" i="2"/>
  <c r="AO7" i="2"/>
  <c r="I30" i="2"/>
  <c r="F30" i="2"/>
  <c r="AN96" i="7"/>
  <c r="AM96" i="7"/>
  <c r="AO95" i="7"/>
  <c r="AO94" i="7"/>
  <c r="AO93" i="7"/>
  <c r="AO92" i="7"/>
  <c r="AN89" i="7"/>
  <c r="AM89" i="7"/>
  <c r="AO88" i="7"/>
  <c r="AO89" i="7" s="1"/>
  <c r="AO87" i="7"/>
  <c r="AO86" i="7"/>
  <c r="AN84" i="7"/>
  <c r="AM84" i="7"/>
  <c r="AO83" i="7"/>
  <c r="AO84" i="7" s="1"/>
  <c r="AN73" i="7"/>
  <c r="AM73" i="7"/>
  <c r="AO72" i="7"/>
  <c r="AO71" i="7"/>
  <c r="AO70" i="7"/>
  <c r="AO69" i="7"/>
  <c r="AO65" i="7"/>
  <c r="AN65" i="7"/>
  <c r="AM65" i="7"/>
  <c r="AN61" i="7"/>
  <c r="AM61" i="7"/>
  <c r="AO60" i="7"/>
  <c r="AO59" i="7"/>
  <c r="AO41" i="7"/>
  <c r="AN40" i="7"/>
  <c r="AM40" i="7"/>
  <c r="AO38" i="7"/>
  <c r="AO37" i="7"/>
  <c r="AO32" i="7"/>
  <c r="AN31" i="7"/>
  <c r="AM31" i="7"/>
  <c r="AO30" i="7"/>
  <c r="AO29" i="7"/>
  <c r="AO28" i="7"/>
  <c r="AO27" i="7"/>
  <c r="AO26" i="7"/>
  <c r="AN22" i="7"/>
  <c r="AM22" i="7"/>
  <c r="AO21" i="7"/>
  <c r="AO19" i="7"/>
  <c r="AO18" i="7"/>
  <c r="AO17" i="7"/>
  <c r="AO16" i="7"/>
  <c r="AO15" i="7"/>
  <c r="AO14" i="7"/>
  <c r="AO13" i="7"/>
  <c r="AO11" i="7"/>
  <c r="AO7" i="7"/>
  <c r="I84" i="7"/>
  <c r="R100" i="8" l="1"/>
  <c r="H18" i="8"/>
  <c r="AI100" i="10"/>
  <c r="AE33" i="8"/>
  <c r="AE42" i="8" s="1"/>
  <c r="AE46" i="8" s="1"/>
  <c r="AE47" i="8" s="1"/>
  <c r="Q61" i="8"/>
  <c r="Q66" i="8" s="1"/>
  <c r="W74" i="10"/>
  <c r="AI33" i="10"/>
  <c r="T61" i="8"/>
  <c r="T66" i="8" s="1"/>
  <c r="T75" i="8" s="1"/>
  <c r="AN66" i="2"/>
  <c r="AN75" i="2" s="1"/>
  <c r="C12" i="8"/>
  <c r="T40" i="8"/>
  <c r="AF61" i="8"/>
  <c r="AF66" i="8" s="1"/>
  <c r="AK98" i="8"/>
  <c r="AO74" i="10"/>
  <c r="W40" i="8"/>
  <c r="AI61" i="8"/>
  <c r="AI66" i="8" s="1"/>
  <c r="AI75" i="8" s="1"/>
  <c r="W74" i="8"/>
  <c r="I126" i="8"/>
  <c r="AL61" i="8"/>
  <c r="AN98" i="8"/>
  <c r="AN100" i="8" s="1"/>
  <c r="AN101" i="8" s="1"/>
  <c r="AG100" i="10"/>
  <c r="AC40" i="8"/>
  <c r="AO61" i="8"/>
  <c r="AO66" i="8" s="1"/>
  <c r="L98" i="8"/>
  <c r="AE100" i="10"/>
  <c r="AE102" i="10" s="1"/>
  <c r="V100" i="10"/>
  <c r="V102" i="10" s="1"/>
  <c r="AH100" i="10"/>
  <c r="AI74" i="8"/>
  <c r="N46" i="10"/>
  <c r="N47" i="10" s="1"/>
  <c r="U66" i="8"/>
  <c r="C29" i="8"/>
  <c r="W31" i="8"/>
  <c r="AO61" i="2"/>
  <c r="AG66" i="8"/>
  <c r="AG75" i="8" s="1"/>
  <c r="AI42" i="10"/>
  <c r="AI46" i="10" s="1"/>
  <c r="AI47" i="10" s="1"/>
  <c r="AF40" i="8"/>
  <c r="AI40" i="8"/>
  <c r="K97" i="8"/>
  <c r="K98" i="8" s="1"/>
  <c r="K100" i="8" s="1"/>
  <c r="K101" i="8" s="1"/>
  <c r="AO40" i="8"/>
  <c r="O66" i="8"/>
  <c r="O75" i="8" s="1"/>
  <c r="D46" i="10"/>
  <c r="Y46" i="10"/>
  <c r="Y47" i="10" s="1"/>
  <c r="J42" i="8"/>
  <c r="J46" i="8" s="1"/>
  <c r="J47" i="8" s="1"/>
  <c r="AH33" i="8"/>
  <c r="AH42" i="8" s="1"/>
  <c r="AH46" i="8" s="1"/>
  <c r="AH47" i="8" s="1"/>
  <c r="C38" i="8"/>
  <c r="H61" i="8"/>
  <c r="P66" i="8"/>
  <c r="P75" i="8" s="1"/>
  <c r="AN66" i="8"/>
  <c r="AN75" i="8" s="1"/>
  <c r="C71" i="8"/>
  <c r="Y98" i="8"/>
  <c r="W97" i="8"/>
  <c r="W98" i="8" s="1"/>
  <c r="W100" i="8" s="1"/>
  <c r="M42" i="8"/>
  <c r="M46" i="8" s="1"/>
  <c r="M47" i="8" s="1"/>
  <c r="AK42" i="8"/>
  <c r="AK46" i="8" s="1"/>
  <c r="AK47" i="8" s="1"/>
  <c r="N61" i="8"/>
  <c r="N66" i="8" s="1"/>
  <c r="S66" i="8"/>
  <c r="AA98" i="8"/>
  <c r="F103" i="9"/>
  <c r="C8" i="8"/>
  <c r="U75" i="8"/>
  <c r="AC97" i="8"/>
  <c r="K99" i="10"/>
  <c r="H40" i="8"/>
  <c r="Q74" i="8"/>
  <c r="AF97" i="8"/>
  <c r="AF98" i="8" s="1"/>
  <c r="AF100" i="8" s="1"/>
  <c r="R33" i="8"/>
  <c r="R42" i="8" s="1"/>
  <c r="R46" i="8" s="1"/>
  <c r="W61" i="8"/>
  <c r="X100" i="8"/>
  <c r="G98" i="8"/>
  <c r="G100" i="8" s="1"/>
  <c r="AI97" i="8"/>
  <c r="AI98" i="8" s="1"/>
  <c r="AI100" i="8" s="1"/>
  <c r="AO40" i="2"/>
  <c r="C16" i="8"/>
  <c r="S33" i="8"/>
  <c r="S42" i="8" s="1"/>
  <c r="Z61" i="8"/>
  <c r="AG98" i="8"/>
  <c r="AG100" i="8" s="1"/>
  <c r="C74" i="9"/>
  <c r="Q40" i="8"/>
  <c r="AC61" i="8"/>
  <c r="AC66" i="8" s="1"/>
  <c r="AH98" i="8"/>
  <c r="AH100" i="8" s="1"/>
  <c r="AO97" i="8"/>
  <c r="AK100" i="10"/>
  <c r="G100" i="10"/>
  <c r="G102" i="10" s="1"/>
  <c r="Q99" i="10"/>
  <c r="AB100" i="10"/>
  <c r="AB102" i="10" s="1"/>
  <c r="AD46" i="10"/>
  <c r="AD47" i="10" s="1"/>
  <c r="D8" i="4"/>
  <c r="F100" i="10"/>
  <c r="T99" i="10"/>
  <c r="T100" i="10" s="1"/>
  <c r="AF100" i="10"/>
  <c r="AC99" i="10"/>
  <c r="X46" i="10"/>
  <c r="X47" i="10" s="1"/>
  <c r="D9" i="4"/>
  <c r="V46" i="10"/>
  <c r="V47" i="10" s="1"/>
  <c r="S46" i="10"/>
  <c r="S47" i="10" s="1"/>
  <c r="R46" i="10"/>
  <c r="R47" i="10" s="1"/>
  <c r="D6" i="4"/>
  <c r="P46" i="10"/>
  <c r="P47" i="10" s="1"/>
  <c r="O46" i="10"/>
  <c r="O47" i="10" s="1"/>
  <c r="G47" i="10"/>
  <c r="F47" i="10"/>
  <c r="AA46" i="10"/>
  <c r="AA47" i="10" s="1"/>
  <c r="D10" i="4"/>
  <c r="I46" i="10"/>
  <c r="I47" i="10" s="1"/>
  <c r="D7" i="4"/>
  <c r="U46" i="10"/>
  <c r="U47" i="10" s="1"/>
  <c r="D11" i="4"/>
  <c r="W33" i="10"/>
  <c r="W42" i="10" s="1"/>
  <c r="W46" i="10" s="1"/>
  <c r="W47" i="10" s="1"/>
  <c r="Z33" i="10"/>
  <c r="Z42" i="10" s="1"/>
  <c r="Z46" i="10" s="1"/>
  <c r="Z47" i="10" s="1"/>
  <c r="AA100" i="10"/>
  <c r="AC74" i="10"/>
  <c r="AC100" i="10" s="1"/>
  <c r="C11" i="8"/>
  <c r="K40" i="8"/>
  <c r="AO101" i="9"/>
  <c r="K31" i="8"/>
  <c r="L33" i="8"/>
  <c r="L42" i="8" s="1"/>
  <c r="L46" i="8" s="1"/>
  <c r="L47" i="8" s="1"/>
  <c r="S75" i="8"/>
  <c r="AJ66" i="8"/>
  <c r="AJ75" i="8" s="1"/>
  <c r="AF74" i="8"/>
  <c r="AC74" i="8"/>
  <c r="AC75" i="8" s="1"/>
  <c r="AC98" i="8"/>
  <c r="AC100" i="8" s="1"/>
  <c r="P98" i="8"/>
  <c r="P100" i="8" s="1"/>
  <c r="Q97" i="8"/>
  <c r="Q98" i="8" s="1"/>
  <c r="Q100" i="8" s="1"/>
  <c r="C59" i="8"/>
  <c r="AK66" i="8"/>
  <c r="AK75" i="8" s="1"/>
  <c r="AE98" i="8"/>
  <c r="AE100" i="8" s="1"/>
  <c r="S98" i="8"/>
  <c r="S100" i="8" s="1"/>
  <c r="AJ98" i="8"/>
  <c r="W22" i="8"/>
  <c r="W33" i="8" s="1"/>
  <c r="W42" i="8" s="1"/>
  <c r="W46" i="8" s="1"/>
  <c r="W47" i="8" s="1"/>
  <c r="P33" i="8"/>
  <c r="P42" i="8" s="1"/>
  <c r="P46" i="8" s="1"/>
  <c r="P47" i="8" s="1"/>
  <c r="G66" i="8"/>
  <c r="X66" i="8"/>
  <c r="C33" i="9"/>
  <c r="C42" i="9" s="1"/>
  <c r="I66" i="8"/>
  <c r="I75" i="8" s="1"/>
  <c r="Y66" i="8"/>
  <c r="Y75" i="8" s="1"/>
  <c r="H74" i="8"/>
  <c r="AO74" i="8"/>
  <c r="AO75" i="8" s="1"/>
  <c r="AO98" i="8"/>
  <c r="AO100" i="8" s="1"/>
  <c r="AI31" i="8"/>
  <c r="Q75" i="8"/>
  <c r="J66" i="8"/>
  <c r="J75" i="8" s="1"/>
  <c r="AA66" i="8"/>
  <c r="AA75" i="8" s="1"/>
  <c r="K74" i="8"/>
  <c r="F98" i="8"/>
  <c r="F100" i="8" s="1"/>
  <c r="F101" i="8" s="1"/>
  <c r="AD98" i="8"/>
  <c r="C9" i="8"/>
  <c r="K66" i="8"/>
  <c r="K75" i="8" s="1"/>
  <c r="AO42" i="10"/>
  <c r="AO46" i="10" s="1"/>
  <c r="AO47" i="10" s="1"/>
  <c r="AO100" i="10"/>
  <c r="K22" i="8"/>
  <c r="AI22" i="8"/>
  <c r="W66" i="8"/>
  <c r="L66" i="8"/>
  <c r="C19" i="8"/>
  <c r="C20" i="8"/>
  <c r="D33" i="8"/>
  <c r="D42" i="8" s="1"/>
  <c r="D46" i="8" s="1"/>
  <c r="X33" i="8"/>
  <c r="X42" i="8" s="1"/>
  <c r="X46" i="8" s="1"/>
  <c r="X47" i="8" s="1"/>
  <c r="C26" i="8"/>
  <c r="C28" i="8"/>
  <c r="M66" i="8"/>
  <c r="M75" i="8" s="1"/>
  <c r="AE75" i="8"/>
  <c r="T74" i="8"/>
  <c r="J98" i="8"/>
  <c r="J100" i="8" s="1"/>
  <c r="C94" i="8"/>
  <c r="U100" i="10"/>
  <c r="Y100" i="10"/>
  <c r="Y102" i="10" s="1"/>
  <c r="X100" i="10"/>
  <c r="W100" i="10"/>
  <c r="AC33" i="10"/>
  <c r="AC42" i="10" s="1"/>
  <c r="AC46" i="10" s="1"/>
  <c r="AC47" i="10" s="1"/>
  <c r="P100" i="10"/>
  <c r="P102" i="10" s="1"/>
  <c r="M100" i="10"/>
  <c r="M102" i="10" s="1"/>
  <c r="L100" i="10"/>
  <c r="I100" i="10"/>
  <c r="S100" i="10"/>
  <c r="S102" i="10" s="1"/>
  <c r="L47" i="10"/>
  <c r="C46" i="9"/>
  <c r="C47" i="9" s="1"/>
  <c r="C100" i="9"/>
  <c r="N97" i="10"/>
  <c r="N99" i="10" s="1"/>
  <c r="N100" i="10" s="1"/>
  <c r="N33" i="10"/>
  <c r="N42" i="10" s="1"/>
  <c r="J100" i="10"/>
  <c r="J102" i="10" s="1"/>
  <c r="C95" i="10"/>
  <c r="K33" i="10"/>
  <c r="K42" i="10" s="1"/>
  <c r="K46" i="10" s="1"/>
  <c r="K47" i="10" s="1"/>
  <c r="T33" i="10"/>
  <c r="T42" i="10" s="1"/>
  <c r="O100" i="10"/>
  <c r="Q74" i="10"/>
  <c r="Q100" i="10" s="1"/>
  <c r="Q33" i="10"/>
  <c r="Q42" i="10" s="1"/>
  <c r="Q46" i="10" s="1"/>
  <c r="Q47" i="10" s="1"/>
  <c r="K100" i="10"/>
  <c r="H99" i="10"/>
  <c r="C89" i="10"/>
  <c r="C84" i="10"/>
  <c r="C73" i="10"/>
  <c r="C22" i="10"/>
  <c r="R100" i="10"/>
  <c r="H66" i="10"/>
  <c r="H74" i="10" s="1"/>
  <c r="Z100" i="10"/>
  <c r="C40" i="10"/>
  <c r="H31" i="10"/>
  <c r="H33" i="10" s="1"/>
  <c r="H42" i="10" s="1"/>
  <c r="H46" i="10" s="1"/>
  <c r="AD100" i="10"/>
  <c r="C31" i="10"/>
  <c r="AL100" i="10"/>
  <c r="C61" i="10"/>
  <c r="C66" i="10" s="1"/>
  <c r="AF33" i="10"/>
  <c r="AF42" i="10" s="1"/>
  <c r="AF46" i="10" s="1"/>
  <c r="AF47" i="10" s="1"/>
  <c r="AD33" i="8"/>
  <c r="AD42" i="8" s="1"/>
  <c r="AD46" i="8" s="1"/>
  <c r="AD47" i="8" s="1"/>
  <c r="U100" i="8"/>
  <c r="Z97" i="8"/>
  <c r="Z98" i="8" s="1"/>
  <c r="Z100" i="8" s="1"/>
  <c r="AM33" i="2"/>
  <c r="AM42" i="2" s="1"/>
  <c r="AM46" i="2" s="1"/>
  <c r="AM47" i="2" s="1"/>
  <c r="AO66" i="2"/>
  <c r="AM98" i="2"/>
  <c r="AM100" i="2" s="1"/>
  <c r="AN33" i="2"/>
  <c r="AN42" i="2" s="1"/>
  <c r="AN46" i="2" s="1"/>
  <c r="AN47" i="2" s="1"/>
  <c r="AN98" i="2"/>
  <c r="F126" i="2"/>
  <c r="C14" i="8"/>
  <c r="C17" i="8"/>
  <c r="I33" i="8"/>
  <c r="I42" i="8" s="1"/>
  <c r="I46" i="8" s="1"/>
  <c r="I47" i="8" s="1"/>
  <c r="O33" i="8"/>
  <c r="O42" i="8" s="1"/>
  <c r="O46" i="8" s="1"/>
  <c r="O47" i="8" s="1"/>
  <c r="U33" i="8"/>
  <c r="U42" i="8" s="1"/>
  <c r="U46" i="8" s="1"/>
  <c r="U47" i="8" s="1"/>
  <c r="AA33" i="8"/>
  <c r="AA42" i="8" s="1"/>
  <c r="AA46" i="8" s="1"/>
  <c r="AA47" i="8" s="1"/>
  <c r="AG33" i="8"/>
  <c r="AG42" i="8" s="1"/>
  <c r="AG46" i="8" s="1"/>
  <c r="AG47" i="8" s="1"/>
  <c r="AM33" i="8"/>
  <c r="AM42" i="8" s="1"/>
  <c r="AM46" i="8" s="1"/>
  <c r="AM47" i="8" s="1"/>
  <c r="N31" i="8"/>
  <c r="Z31" i="8"/>
  <c r="AL31" i="8"/>
  <c r="AF30" i="8"/>
  <c r="AF31" i="8" s="1"/>
  <c r="N40" i="8"/>
  <c r="Z40" i="8"/>
  <c r="AL40" i="8"/>
  <c r="L75" i="8"/>
  <c r="R66" i="8"/>
  <c r="R75" i="8" s="1"/>
  <c r="R101" i="8" s="1"/>
  <c r="AH66" i="8"/>
  <c r="AH75" i="8" s="1"/>
  <c r="AM66" i="8"/>
  <c r="AM75" i="8" s="1"/>
  <c r="N74" i="8"/>
  <c r="Z74" i="8"/>
  <c r="AL74" i="8"/>
  <c r="AB98" i="8"/>
  <c r="AB100" i="8" s="1"/>
  <c r="AB101" i="8" s="1"/>
  <c r="AO22" i="2"/>
  <c r="AO31" i="2"/>
  <c r="AO97" i="2"/>
  <c r="AO98" i="2" s="1"/>
  <c r="AO100" i="2" s="1"/>
  <c r="H22" i="8"/>
  <c r="T22" i="8"/>
  <c r="AF22" i="8"/>
  <c r="Q22" i="8"/>
  <c r="AC22" i="8"/>
  <c r="C18" i="8"/>
  <c r="AB42" i="8"/>
  <c r="AB46" i="8" s="1"/>
  <c r="AB47" i="8" s="1"/>
  <c r="AN42" i="8"/>
  <c r="AN46" i="8" s="1"/>
  <c r="AN47" i="8" s="1"/>
  <c r="Q31" i="8"/>
  <c r="AC31" i="8"/>
  <c r="AO31" i="8"/>
  <c r="C37" i="8"/>
  <c r="Z66" i="8"/>
  <c r="AL66" i="8"/>
  <c r="AL75" i="8" s="1"/>
  <c r="X75" i="8"/>
  <c r="X101" i="8" s="1"/>
  <c r="AD66" i="8"/>
  <c r="AD75" i="8" s="1"/>
  <c r="I100" i="8"/>
  <c r="I101" i="8" s="1"/>
  <c r="Y100" i="8"/>
  <c r="Y101" i="8" s="1"/>
  <c r="AK100" i="8"/>
  <c r="O98" i="8"/>
  <c r="O100" i="8" s="1"/>
  <c r="AM98" i="8"/>
  <c r="AM100" i="8" s="1"/>
  <c r="C95" i="8"/>
  <c r="M98" i="8"/>
  <c r="M100" i="8" s="1"/>
  <c r="M101" i="8" s="1"/>
  <c r="C118" i="8"/>
  <c r="T31" i="8"/>
  <c r="AL97" i="8"/>
  <c r="AL98" i="8" s="1"/>
  <c r="AL100" i="8" s="1"/>
  <c r="AM66" i="2"/>
  <c r="AM75" i="2" s="1"/>
  <c r="N22" i="8"/>
  <c r="Z22" i="8"/>
  <c r="AL22" i="8"/>
  <c r="AL33" i="8" s="1"/>
  <c r="AL42" i="8" s="1"/>
  <c r="AL46" i="8" s="1"/>
  <c r="AL47" i="8" s="1"/>
  <c r="C10" i="8"/>
  <c r="C13" i="8"/>
  <c r="C15" i="8"/>
  <c r="AO22" i="8"/>
  <c r="C21" i="8"/>
  <c r="C27" i="8"/>
  <c r="C30" i="8"/>
  <c r="C39" i="8"/>
  <c r="AF75" i="8"/>
  <c r="C60" i="8"/>
  <c r="V66" i="8"/>
  <c r="V75" i="8" s="1"/>
  <c r="C72" i="8"/>
  <c r="C73" i="8"/>
  <c r="C84" i="8"/>
  <c r="C85" i="8" s="1"/>
  <c r="L100" i="8"/>
  <c r="V98" i="8"/>
  <c r="V100" i="8" s="1"/>
  <c r="AA100" i="8"/>
  <c r="C93" i="8"/>
  <c r="C117" i="8"/>
  <c r="C126" i="8" s="1"/>
  <c r="AN33" i="7"/>
  <c r="AN42" i="7" s="1"/>
  <c r="AN46" i="7" s="1"/>
  <c r="AN47" i="7" s="1"/>
  <c r="AO61" i="7"/>
  <c r="AO66" i="7" s="1"/>
  <c r="C39" i="7"/>
  <c r="AM66" i="7"/>
  <c r="AM74" i="7" s="1"/>
  <c r="AO31" i="7"/>
  <c r="AO40" i="7"/>
  <c r="AN66" i="7"/>
  <c r="AN74" i="7" s="1"/>
  <c r="AM97" i="7"/>
  <c r="AM99" i="7" s="1"/>
  <c r="C116" i="7"/>
  <c r="C120" i="7"/>
  <c r="AO73" i="7"/>
  <c r="W75" i="8"/>
  <c r="AJ100" i="8"/>
  <c r="R47" i="8"/>
  <c r="T46" i="8"/>
  <c r="T47" i="8" s="1"/>
  <c r="F31" i="8"/>
  <c r="F33" i="8" s="1"/>
  <c r="F42" i="8" s="1"/>
  <c r="F46" i="8" s="1"/>
  <c r="F47" i="8" s="1"/>
  <c r="G74" i="8"/>
  <c r="G75" i="8" s="1"/>
  <c r="AD85" i="8"/>
  <c r="AD100" i="8" s="1"/>
  <c r="AD101" i="8" s="1"/>
  <c r="C89" i="8"/>
  <c r="C90" i="8" s="1"/>
  <c r="N97" i="8"/>
  <c r="N98" i="8" s="1"/>
  <c r="N100" i="8" s="1"/>
  <c r="O126" i="8"/>
  <c r="T96" i="8"/>
  <c r="T97" i="8" s="1"/>
  <c r="T98" i="8" s="1"/>
  <c r="T100" i="8" s="1"/>
  <c r="H31" i="8"/>
  <c r="H65" i="8"/>
  <c r="H66" i="8" s="1"/>
  <c r="H75" i="8" s="1"/>
  <c r="H85" i="8"/>
  <c r="H97" i="8"/>
  <c r="H98" i="8" s="1"/>
  <c r="C7" i="8"/>
  <c r="C70" i="8"/>
  <c r="C126" i="2"/>
  <c r="AN97" i="7"/>
  <c r="AN99" i="7" s="1"/>
  <c r="AO22" i="7"/>
  <c r="AO96" i="7"/>
  <c r="AO97" i="7" s="1"/>
  <c r="AO99" i="7" s="1"/>
  <c r="C20" i="7"/>
  <c r="AO74" i="2"/>
  <c r="AO75" i="2" s="1"/>
  <c r="AN100" i="2"/>
  <c r="AN101" i="2" s="1"/>
  <c r="AM33" i="7"/>
  <c r="AM42" i="7" s="1"/>
  <c r="T95" i="7"/>
  <c r="AK96" i="7"/>
  <c r="AJ96" i="7"/>
  <c r="AH96" i="7"/>
  <c r="AG96" i="7"/>
  <c r="AE96" i="7"/>
  <c r="AD96" i="7"/>
  <c r="AB96" i="7"/>
  <c r="AA96" i="7"/>
  <c r="Y96" i="7"/>
  <c r="X96" i="7"/>
  <c r="V96" i="7"/>
  <c r="U96" i="7"/>
  <c r="R96" i="7"/>
  <c r="P96" i="7"/>
  <c r="M96" i="7"/>
  <c r="L96" i="7"/>
  <c r="J96" i="7"/>
  <c r="I96" i="7"/>
  <c r="F96" i="7"/>
  <c r="AL95" i="7"/>
  <c r="AI95" i="7"/>
  <c r="AF95" i="7"/>
  <c r="AC95" i="7"/>
  <c r="Z95" i="7"/>
  <c r="W95" i="7"/>
  <c r="N95" i="7"/>
  <c r="K95" i="7"/>
  <c r="H95" i="7"/>
  <c r="AL94" i="7"/>
  <c r="AI94" i="7"/>
  <c r="AF94" i="7"/>
  <c r="AC94" i="7"/>
  <c r="Z94" i="7"/>
  <c r="W94" i="7"/>
  <c r="T94" i="7"/>
  <c r="Q94" i="7"/>
  <c r="N94" i="7"/>
  <c r="K94" i="7"/>
  <c r="H94" i="7"/>
  <c r="AL93" i="7"/>
  <c r="AI93" i="7"/>
  <c r="AF93" i="7"/>
  <c r="AC93" i="7"/>
  <c r="Z93" i="7"/>
  <c r="W93" i="7"/>
  <c r="T93" i="7"/>
  <c r="Q93" i="7"/>
  <c r="N93" i="7"/>
  <c r="K93" i="7"/>
  <c r="H93" i="7"/>
  <c r="AL92" i="7"/>
  <c r="AI92" i="7"/>
  <c r="AF92" i="7"/>
  <c r="AC92" i="7"/>
  <c r="Z92" i="7"/>
  <c r="W92" i="7"/>
  <c r="T92" i="7"/>
  <c r="Q92" i="7"/>
  <c r="N92" i="7"/>
  <c r="K92" i="7"/>
  <c r="H92" i="7"/>
  <c r="AK89" i="7"/>
  <c r="AJ89" i="7"/>
  <c r="AH89" i="7"/>
  <c r="AG89" i="7"/>
  <c r="AE89" i="7"/>
  <c r="AD89" i="7"/>
  <c r="AB89" i="7"/>
  <c r="AA89" i="7"/>
  <c r="Y89" i="7"/>
  <c r="X89" i="7"/>
  <c r="V89" i="7"/>
  <c r="U89" i="7"/>
  <c r="S89" i="7"/>
  <c r="R89" i="7"/>
  <c r="P89" i="7"/>
  <c r="O89" i="7"/>
  <c r="M89" i="7"/>
  <c r="L89" i="7"/>
  <c r="J89" i="7"/>
  <c r="I89" i="7"/>
  <c r="G89" i="7"/>
  <c r="F89" i="7"/>
  <c r="AL88" i="7"/>
  <c r="AL89" i="7" s="1"/>
  <c r="AI88" i="7"/>
  <c r="AI89" i="7" s="1"/>
  <c r="AF88" i="7"/>
  <c r="AF89" i="7" s="1"/>
  <c r="AC88" i="7"/>
  <c r="AC89" i="7" s="1"/>
  <c r="Z88" i="7"/>
  <c r="Z89" i="7" s="1"/>
  <c r="W88" i="7"/>
  <c r="W89" i="7" s="1"/>
  <c r="T88" i="7"/>
  <c r="T89" i="7" s="1"/>
  <c r="Q88" i="7"/>
  <c r="Q89" i="7" s="1"/>
  <c r="N88" i="7"/>
  <c r="N89" i="7" s="1"/>
  <c r="K88" i="7"/>
  <c r="K89" i="7" s="1"/>
  <c r="H88" i="7"/>
  <c r="AL87" i="7"/>
  <c r="AI87" i="7"/>
  <c r="AF87" i="7"/>
  <c r="AC87" i="7"/>
  <c r="Z87" i="7"/>
  <c r="W87" i="7"/>
  <c r="T87" i="7"/>
  <c r="Q87" i="7"/>
  <c r="N87" i="7"/>
  <c r="K87" i="7"/>
  <c r="H87" i="7"/>
  <c r="AL86" i="7"/>
  <c r="AI86" i="7"/>
  <c r="AF86" i="7"/>
  <c r="AC86" i="7"/>
  <c r="Z86" i="7"/>
  <c r="W86" i="7"/>
  <c r="T86" i="7"/>
  <c r="Q86" i="7"/>
  <c r="N86" i="7"/>
  <c r="K86" i="7"/>
  <c r="H86" i="7"/>
  <c r="AK84" i="7"/>
  <c r="AJ84" i="7"/>
  <c r="AH84" i="7"/>
  <c r="AG84" i="7"/>
  <c r="AE84" i="7"/>
  <c r="AD84" i="7"/>
  <c r="AB84" i="7"/>
  <c r="AA84" i="7"/>
  <c r="Y84" i="7"/>
  <c r="X84" i="7"/>
  <c r="V84" i="7"/>
  <c r="U84" i="7"/>
  <c r="S84" i="7"/>
  <c r="R84" i="7"/>
  <c r="P84" i="7"/>
  <c r="O84" i="7"/>
  <c r="M84" i="7"/>
  <c r="L84" i="7"/>
  <c r="J84" i="7"/>
  <c r="G84" i="7"/>
  <c r="F84" i="7"/>
  <c r="AL83" i="7"/>
  <c r="AI83" i="7"/>
  <c r="AF83" i="7"/>
  <c r="AC83" i="7"/>
  <c r="Z83" i="7"/>
  <c r="W83" i="7"/>
  <c r="T83" i="7"/>
  <c r="N83" i="7"/>
  <c r="K83" i="7"/>
  <c r="H83" i="7"/>
  <c r="C81" i="7"/>
  <c r="AK73" i="7"/>
  <c r="AJ73" i="7"/>
  <c r="AH73" i="7"/>
  <c r="AG73" i="7"/>
  <c r="AE73" i="7"/>
  <c r="AD73" i="7"/>
  <c r="AB73" i="7"/>
  <c r="AA73" i="7"/>
  <c r="Y73" i="7"/>
  <c r="X73" i="7"/>
  <c r="V73" i="7"/>
  <c r="U73" i="7"/>
  <c r="S73" i="7"/>
  <c r="R73" i="7"/>
  <c r="P73" i="7"/>
  <c r="O73" i="7"/>
  <c r="M73" i="7"/>
  <c r="L73" i="7"/>
  <c r="J73" i="7"/>
  <c r="I73" i="7"/>
  <c r="G73" i="7"/>
  <c r="F73" i="7"/>
  <c r="AL72" i="7"/>
  <c r="AI72" i="7"/>
  <c r="AF72" i="7"/>
  <c r="AC72" i="7"/>
  <c r="Z72" i="7"/>
  <c r="W72" i="7"/>
  <c r="T72" i="7"/>
  <c r="Q72" i="7"/>
  <c r="N72" i="7"/>
  <c r="K72" i="7"/>
  <c r="H72" i="7"/>
  <c r="AL71" i="7"/>
  <c r="AI71" i="7"/>
  <c r="AF71" i="7"/>
  <c r="AC71" i="7"/>
  <c r="Z71" i="7"/>
  <c r="W71" i="7"/>
  <c r="T71" i="7"/>
  <c r="N71" i="7"/>
  <c r="K71" i="7"/>
  <c r="H71" i="7"/>
  <c r="AL70" i="7"/>
  <c r="AI70" i="7"/>
  <c r="AF70" i="7"/>
  <c r="AC70" i="7"/>
  <c r="Z70" i="7"/>
  <c r="W70" i="7"/>
  <c r="T70" i="7"/>
  <c r="N70" i="7"/>
  <c r="K70" i="7"/>
  <c r="H70" i="7"/>
  <c r="AL69" i="7"/>
  <c r="AI69" i="7"/>
  <c r="AF69" i="7"/>
  <c r="AC69" i="7"/>
  <c r="Z69" i="7"/>
  <c r="W69" i="7"/>
  <c r="T69" i="7"/>
  <c r="Q69" i="7"/>
  <c r="N69" i="7"/>
  <c r="K69" i="7"/>
  <c r="H69" i="7"/>
  <c r="AL65" i="7"/>
  <c r="AK65" i="7"/>
  <c r="AJ65" i="7"/>
  <c r="AI65" i="7"/>
  <c r="AH65" i="7"/>
  <c r="AG65" i="7"/>
  <c r="AF65" i="7"/>
  <c r="AE65" i="7"/>
  <c r="AD65" i="7"/>
  <c r="AC65" i="7"/>
  <c r="AB65" i="7"/>
  <c r="AA65" i="7"/>
  <c r="Z65" i="7"/>
  <c r="Y65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I65" i="7"/>
  <c r="G65" i="7"/>
  <c r="F65" i="7"/>
  <c r="H64" i="7"/>
  <c r="AK61" i="7"/>
  <c r="AK66" i="7" s="1"/>
  <c r="AJ61" i="7"/>
  <c r="AH61" i="7"/>
  <c r="AG61" i="7"/>
  <c r="AE61" i="7"/>
  <c r="AD61" i="7"/>
  <c r="AB61" i="7"/>
  <c r="AA61" i="7"/>
  <c r="Y61" i="7"/>
  <c r="X61" i="7"/>
  <c r="V61" i="7"/>
  <c r="U61" i="7"/>
  <c r="S61" i="7"/>
  <c r="R61" i="7"/>
  <c r="P61" i="7"/>
  <c r="O61" i="7"/>
  <c r="M61" i="7"/>
  <c r="L61" i="7"/>
  <c r="J61" i="7"/>
  <c r="I61" i="7"/>
  <c r="G61" i="7"/>
  <c r="F61" i="7"/>
  <c r="AL60" i="7"/>
  <c r="AI60" i="7"/>
  <c r="AF60" i="7"/>
  <c r="AC60" i="7"/>
  <c r="Z60" i="7"/>
  <c r="W60" i="7"/>
  <c r="T60" i="7"/>
  <c r="Q60" i="7"/>
  <c r="N60" i="7"/>
  <c r="K60" i="7"/>
  <c r="H60" i="7"/>
  <c r="AL59" i="7"/>
  <c r="AI59" i="7"/>
  <c r="AF59" i="7"/>
  <c r="AC59" i="7"/>
  <c r="Z59" i="7"/>
  <c r="W59" i="7"/>
  <c r="T59" i="7"/>
  <c r="Q59" i="7"/>
  <c r="N59" i="7"/>
  <c r="K59" i="7"/>
  <c r="H59" i="7"/>
  <c r="C53" i="7"/>
  <c r="A50" i="7"/>
  <c r="AL41" i="7"/>
  <c r="AI41" i="7"/>
  <c r="AF41" i="7"/>
  <c r="AC41" i="7"/>
  <c r="Z41" i="7"/>
  <c r="W41" i="7"/>
  <c r="T41" i="7"/>
  <c r="Q41" i="7"/>
  <c r="N41" i="7"/>
  <c r="K41" i="7"/>
  <c r="H41" i="7"/>
  <c r="AK40" i="7"/>
  <c r="AJ40" i="7"/>
  <c r="AH40" i="7"/>
  <c r="AG40" i="7"/>
  <c r="AE40" i="7"/>
  <c r="AD40" i="7"/>
  <c r="AB40" i="7"/>
  <c r="AA40" i="7"/>
  <c r="Y40" i="7"/>
  <c r="X40" i="7"/>
  <c r="V40" i="7"/>
  <c r="U40" i="7"/>
  <c r="S40" i="7"/>
  <c r="R40" i="7"/>
  <c r="P40" i="7"/>
  <c r="O40" i="7"/>
  <c r="M40" i="7"/>
  <c r="L40" i="7"/>
  <c r="J40" i="7"/>
  <c r="I40" i="7"/>
  <c r="G40" i="7"/>
  <c r="F40" i="7"/>
  <c r="D40" i="7"/>
  <c r="AL38" i="7"/>
  <c r="AI38" i="7"/>
  <c r="AF38" i="7"/>
  <c r="AC38" i="7"/>
  <c r="Z38" i="7"/>
  <c r="W38" i="7"/>
  <c r="T38" i="7"/>
  <c r="Q38" i="7"/>
  <c r="N38" i="7"/>
  <c r="K38" i="7"/>
  <c r="H38" i="7"/>
  <c r="AL37" i="7"/>
  <c r="AI37" i="7"/>
  <c r="AF37" i="7"/>
  <c r="AC37" i="7"/>
  <c r="Z37" i="7"/>
  <c r="W37" i="7"/>
  <c r="T37" i="7"/>
  <c r="Q37" i="7"/>
  <c r="N37" i="7"/>
  <c r="K37" i="7"/>
  <c r="H37" i="7"/>
  <c r="AL32" i="7"/>
  <c r="AI32" i="7"/>
  <c r="AF32" i="7"/>
  <c r="AC32" i="7"/>
  <c r="Z32" i="7"/>
  <c r="W32" i="7"/>
  <c r="T32" i="7"/>
  <c r="Q32" i="7"/>
  <c r="N32" i="7"/>
  <c r="K32" i="7"/>
  <c r="H32" i="7"/>
  <c r="AK31" i="7"/>
  <c r="AJ31" i="7"/>
  <c r="AH31" i="7"/>
  <c r="AG31" i="7"/>
  <c r="AE31" i="7"/>
  <c r="AD31" i="7"/>
  <c r="AB31" i="7"/>
  <c r="AA31" i="7"/>
  <c r="Y31" i="7"/>
  <c r="V31" i="7"/>
  <c r="U31" i="7"/>
  <c r="S31" i="7"/>
  <c r="P31" i="7"/>
  <c r="M31" i="7"/>
  <c r="L31" i="7"/>
  <c r="J31" i="7"/>
  <c r="I31" i="7"/>
  <c r="G31" i="7"/>
  <c r="D31" i="7"/>
  <c r="AL30" i="7"/>
  <c r="AI30" i="7"/>
  <c r="AF30" i="7"/>
  <c r="AC30" i="7"/>
  <c r="Z30" i="7"/>
  <c r="W30" i="7"/>
  <c r="T30" i="7"/>
  <c r="Q30" i="7"/>
  <c r="O31" i="7"/>
  <c r="N30" i="7"/>
  <c r="K30" i="7"/>
  <c r="H30" i="7"/>
  <c r="AL29" i="7"/>
  <c r="AI29" i="7"/>
  <c r="AF29" i="7"/>
  <c r="AC29" i="7"/>
  <c r="Z29" i="7"/>
  <c r="W29" i="7"/>
  <c r="T29" i="7"/>
  <c r="Q29" i="7"/>
  <c r="N29" i="7"/>
  <c r="K29" i="7"/>
  <c r="H29" i="7"/>
  <c r="AL28" i="7"/>
  <c r="AI28" i="7"/>
  <c r="AF28" i="7"/>
  <c r="AC28" i="7"/>
  <c r="Z28" i="7"/>
  <c r="W28" i="7"/>
  <c r="T28" i="7"/>
  <c r="Q28" i="7"/>
  <c r="N28" i="7"/>
  <c r="K28" i="7"/>
  <c r="H28" i="7"/>
  <c r="AL27" i="7"/>
  <c r="AI27" i="7"/>
  <c r="AF27" i="7"/>
  <c r="AC27" i="7"/>
  <c r="Z27" i="7"/>
  <c r="W27" i="7"/>
  <c r="T27" i="7"/>
  <c r="Q27" i="7"/>
  <c r="N27" i="7"/>
  <c r="K27" i="7"/>
  <c r="H27" i="7"/>
  <c r="F31" i="7"/>
  <c r="AL26" i="7"/>
  <c r="AI26" i="7"/>
  <c r="AF26" i="7"/>
  <c r="AC26" i="7"/>
  <c r="Z26" i="7"/>
  <c r="W26" i="7"/>
  <c r="T26" i="7"/>
  <c r="Q26" i="7"/>
  <c r="N26" i="7"/>
  <c r="K26" i="7"/>
  <c r="H26" i="7"/>
  <c r="AK22" i="7"/>
  <c r="AJ22" i="7"/>
  <c r="AH22" i="7"/>
  <c r="AG22" i="7"/>
  <c r="AE22" i="7"/>
  <c r="AD22" i="7"/>
  <c r="AB22" i="7"/>
  <c r="AA22" i="7"/>
  <c r="Y22" i="7"/>
  <c r="X22" i="7"/>
  <c r="V22" i="7"/>
  <c r="U22" i="7"/>
  <c r="S22" i="7"/>
  <c r="M22" i="7"/>
  <c r="J22" i="7"/>
  <c r="G22" i="7"/>
  <c r="D22" i="7"/>
  <c r="AL21" i="7"/>
  <c r="AI21" i="7"/>
  <c r="AF21" i="7"/>
  <c r="AC21" i="7"/>
  <c r="Z21" i="7"/>
  <c r="W21" i="7"/>
  <c r="T21" i="7"/>
  <c r="Q21" i="7"/>
  <c r="N21" i="7"/>
  <c r="K21" i="7"/>
  <c r="H21" i="7"/>
  <c r="AL19" i="7"/>
  <c r="AI19" i="7"/>
  <c r="AF19" i="7"/>
  <c r="AC19" i="7"/>
  <c r="Z19" i="7"/>
  <c r="W19" i="7"/>
  <c r="T19" i="7"/>
  <c r="Q19" i="7"/>
  <c r="N19" i="7"/>
  <c r="K19" i="7"/>
  <c r="H19" i="7"/>
  <c r="AL18" i="7"/>
  <c r="AI18" i="7"/>
  <c r="AF18" i="7"/>
  <c r="AC18" i="7"/>
  <c r="Z18" i="7"/>
  <c r="W18" i="7"/>
  <c r="T18" i="7"/>
  <c r="Q18" i="7"/>
  <c r="N18" i="7"/>
  <c r="K18" i="7"/>
  <c r="H18" i="7"/>
  <c r="AL17" i="7"/>
  <c r="AI17" i="7"/>
  <c r="AF17" i="7"/>
  <c r="AC17" i="7"/>
  <c r="Z17" i="7"/>
  <c r="W17" i="7"/>
  <c r="T17" i="7"/>
  <c r="Q17" i="7"/>
  <c r="N17" i="7"/>
  <c r="K17" i="7"/>
  <c r="H17" i="7"/>
  <c r="AL16" i="7"/>
  <c r="AI16" i="7"/>
  <c r="AF16" i="7"/>
  <c r="AC16" i="7"/>
  <c r="Z16" i="7"/>
  <c r="W16" i="7"/>
  <c r="T16" i="7"/>
  <c r="Q16" i="7"/>
  <c r="N16" i="7"/>
  <c r="K16" i="7"/>
  <c r="H16" i="7"/>
  <c r="AL15" i="7"/>
  <c r="AI15" i="7"/>
  <c r="AF15" i="7"/>
  <c r="AC15" i="7"/>
  <c r="Z15" i="7"/>
  <c r="W15" i="7"/>
  <c r="T15" i="7"/>
  <c r="Q15" i="7"/>
  <c r="N15" i="7"/>
  <c r="K15" i="7"/>
  <c r="H15" i="7"/>
  <c r="AL14" i="7"/>
  <c r="AI14" i="7"/>
  <c r="AF14" i="7"/>
  <c r="AC14" i="7"/>
  <c r="Z14" i="7"/>
  <c r="W14" i="7"/>
  <c r="T14" i="7"/>
  <c r="Q14" i="7"/>
  <c r="N14" i="7"/>
  <c r="K14" i="7"/>
  <c r="H14" i="7"/>
  <c r="AL13" i="7"/>
  <c r="AI13" i="7"/>
  <c r="AF13" i="7"/>
  <c r="AC13" i="7"/>
  <c r="Z13" i="7"/>
  <c r="W13" i="7"/>
  <c r="T13" i="7"/>
  <c r="P22" i="7"/>
  <c r="P33" i="7" s="1"/>
  <c r="Q13" i="7"/>
  <c r="N13" i="7"/>
  <c r="K13" i="7"/>
  <c r="H13" i="7"/>
  <c r="AC12" i="7"/>
  <c r="Z12" i="7"/>
  <c r="W12" i="7"/>
  <c r="T12" i="7"/>
  <c r="Q12" i="7"/>
  <c r="N12" i="7"/>
  <c r="K12" i="7"/>
  <c r="H12" i="7"/>
  <c r="AL11" i="7"/>
  <c r="AI11" i="7"/>
  <c r="AF11" i="7"/>
  <c r="AC11" i="7"/>
  <c r="Z11" i="7"/>
  <c r="W11" i="7"/>
  <c r="T11" i="7"/>
  <c r="Q11" i="7"/>
  <c r="N11" i="7"/>
  <c r="K11" i="7"/>
  <c r="H11" i="7"/>
  <c r="AC10" i="7"/>
  <c r="Z10" i="7"/>
  <c r="W10" i="7"/>
  <c r="T10" i="7"/>
  <c r="R22" i="7"/>
  <c r="Q10" i="7"/>
  <c r="N10" i="7"/>
  <c r="L22" i="7"/>
  <c r="K10" i="7"/>
  <c r="H10" i="7"/>
  <c r="AC9" i="7"/>
  <c r="Z9" i="7"/>
  <c r="W9" i="7"/>
  <c r="T9" i="7"/>
  <c r="Q9" i="7"/>
  <c r="O22" i="7"/>
  <c r="N9" i="7"/>
  <c r="I22" i="7"/>
  <c r="H9" i="7"/>
  <c r="AC8" i="7"/>
  <c r="Z8" i="7"/>
  <c r="W8" i="7"/>
  <c r="T8" i="7"/>
  <c r="Q8" i="7"/>
  <c r="N8" i="7"/>
  <c r="K8" i="7"/>
  <c r="H8" i="7"/>
  <c r="AL7" i="7"/>
  <c r="AI7" i="7"/>
  <c r="AF7" i="7"/>
  <c r="AC7" i="7"/>
  <c r="Z7" i="7"/>
  <c r="W7" i="7"/>
  <c r="T7" i="7"/>
  <c r="Q7" i="7"/>
  <c r="N7" i="7"/>
  <c r="K7" i="7"/>
  <c r="H7" i="7"/>
  <c r="B1" i="6"/>
  <c r="J13" i="5"/>
  <c r="G29" i="5"/>
  <c r="AA15" i="5"/>
  <c r="AC15" i="5" s="1"/>
  <c r="X29" i="5"/>
  <c r="R29" i="5"/>
  <c r="T29" i="5" s="1"/>
  <c r="R10" i="5"/>
  <c r="T10" i="5" s="1"/>
  <c r="R7" i="5"/>
  <c r="T7" i="5" s="1"/>
  <c r="R16" i="5"/>
  <c r="O95" i="5"/>
  <c r="Q95" i="5" s="1"/>
  <c r="O29" i="5"/>
  <c r="O30" i="5" s="1"/>
  <c r="O15" i="5"/>
  <c r="O9" i="5"/>
  <c r="O20" i="5"/>
  <c r="O17" i="5"/>
  <c r="L10" i="5"/>
  <c r="L21" i="5" s="1"/>
  <c r="I29" i="5"/>
  <c r="K29" i="5" s="1"/>
  <c r="I10" i="5"/>
  <c r="I20" i="5"/>
  <c r="K20" i="5" s="1"/>
  <c r="I16" i="5"/>
  <c r="K16" i="5" s="1"/>
  <c r="I17" i="5"/>
  <c r="I9" i="5"/>
  <c r="F29" i="5"/>
  <c r="F16" i="5"/>
  <c r="F21" i="5" s="1"/>
  <c r="AK96" i="5"/>
  <c r="AJ96" i="5"/>
  <c r="AH96" i="5"/>
  <c r="AG96" i="5"/>
  <c r="AE96" i="5"/>
  <c r="AD96" i="5"/>
  <c r="AB96" i="5"/>
  <c r="AA96" i="5"/>
  <c r="Y96" i="5"/>
  <c r="X96" i="5"/>
  <c r="V96" i="5"/>
  <c r="U96" i="5"/>
  <c r="S96" i="5"/>
  <c r="R96" i="5"/>
  <c r="P96" i="5"/>
  <c r="M96" i="5"/>
  <c r="L96" i="5"/>
  <c r="J96" i="5"/>
  <c r="I96" i="5"/>
  <c r="F96" i="5"/>
  <c r="AL95" i="5"/>
  <c r="AI95" i="5"/>
  <c r="AF95" i="5"/>
  <c r="AC95" i="5"/>
  <c r="Z95" i="5"/>
  <c r="W95" i="5"/>
  <c r="T95" i="5"/>
  <c r="N95" i="5"/>
  <c r="K95" i="5"/>
  <c r="H95" i="5"/>
  <c r="AL94" i="5"/>
  <c r="AI94" i="5"/>
  <c r="AF94" i="5"/>
  <c r="AC94" i="5"/>
  <c r="Z94" i="5"/>
  <c r="W94" i="5"/>
  <c r="T94" i="5"/>
  <c r="Q94" i="5"/>
  <c r="N94" i="5"/>
  <c r="K94" i="5"/>
  <c r="H94" i="5"/>
  <c r="AL93" i="5"/>
  <c r="AI93" i="5"/>
  <c r="AF93" i="5"/>
  <c r="AC93" i="5"/>
  <c r="Z93" i="5"/>
  <c r="W93" i="5"/>
  <c r="T93" i="5"/>
  <c r="Q93" i="5"/>
  <c r="N93" i="5"/>
  <c r="K93" i="5"/>
  <c r="H93" i="5"/>
  <c r="AL92" i="5"/>
  <c r="AI92" i="5"/>
  <c r="AF92" i="5"/>
  <c r="AC92" i="5"/>
  <c r="Z92" i="5"/>
  <c r="W92" i="5"/>
  <c r="T92" i="5"/>
  <c r="Q92" i="5"/>
  <c r="N92" i="5"/>
  <c r="K92" i="5"/>
  <c r="H92" i="5"/>
  <c r="AK89" i="5"/>
  <c r="AJ89" i="5"/>
  <c r="AH89" i="5"/>
  <c r="AG89" i="5"/>
  <c r="AE89" i="5"/>
  <c r="AD89" i="5"/>
  <c r="AB89" i="5"/>
  <c r="AB97" i="5" s="1"/>
  <c r="AA89" i="5"/>
  <c r="Y89" i="5"/>
  <c r="X89" i="5"/>
  <c r="V89" i="5"/>
  <c r="U89" i="5"/>
  <c r="S89" i="5"/>
  <c r="R89" i="5"/>
  <c r="P89" i="5"/>
  <c r="O89" i="5"/>
  <c r="M89" i="5"/>
  <c r="L89" i="5"/>
  <c r="J89" i="5"/>
  <c r="I89" i="5"/>
  <c r="G89" i="5"/>
  <c r="F89" i="5"/>
  <c r="AL88" i="5"/>
  <c r="AL89" i="5" s="1"/>
  <c r="AI88" i="5"/>
  <c r="AI89" i="5" s="1"/>
  <c r="AF88" i="5"/>
  <c r="AF89" i="5" s="1"/>
  <c r="AC88" i="5"/>
  <c r="AC89" i="5" s="1"/>
  <c r="Z88" i="5"/>
  <c r="Z89" i="5" s="1"/>
  <c r="W88" i="5"/>
  <c r="W89" i="5" s="1"/>
  <c r="T88" i="5"/>
  <c r="T89" i="5" s="1"/>
  <c r="Q88" i="5"/>
  <c r="Q89" i="5" s="1"/>
  <c r="N88" i="5"/>
  <c r="N89" i="5" s="1"/>
  <c r="K88" i="5"/>
  <c r="K89" i="5" s="1"/>
  <c r="H88" i="5"/>
  <c r="AL87" i="5"/>
  <c r="AI87" i="5"/>
  <c r="AF87" i="5"/>
  <c r="AC87" i="5"/>
  <c r="Z87" i="5"/>
  <c r="W87" i="5"/>
  <c r="T87" i="5"/>
  <c r="Q87" i="5"/>
  <c r="N87" i="5"/>
  <c r="K87" i="5"/>
  <c r="H87" i="5"/>
  <c r="AL86" i="5"/>
  <c r="AI86" i="5"/>
  <c r="AF86" i="5"/>
  <c r="AC86" i="5"/>
  <c r="Z86" i="5"/>
  <c r="W86" i="5"/>
  <c r="T86" i="5"/>
  <c r="Q86" i="5"/>
  <c r="N86" i="5"/>
  <c r="K86" i="5"/>
  <c r="H86" i="5"/>
  <c r="AK84" i="5"/>
  <c r="AJ84" i="5"/>
  <c r="AH84" i="5"/>
  <c r="AG84" i="5"/>
  <c r="AE84" i="5"/>
  <c r="AD84" i="5"/>
  <c r="AB84" i="5"/>
  <c r="AA84" i="5"/>
  <c r="Y84" i="5"/>
  <c r="X84" i="5"/>
  <c r="V84" i="5"/>
  <c r="U84" i="5"/>
  <c r="S84" i="5"/>
  <c r="R84" i="5"/>
  <c r="P84" i="5"/>
  <c r="O84" i="5"/>
  <c r="M84" i="5"/>
  <c r="L84" i="5"/>
  <c r="J84" i="5"/>
  <c r="I84" i="5"/>
  <c r="G84" i="5"/>
  <c r="F84" i="5"/>
  <c r="AL83" i="5"/>
  <c r="AL84" i="5" s="1"/>
  <c r="AI83" i="5"/>
  <c r="AI84" i="5" s="1"/>
  <c r="AF83" i="5"/>
  <c r="AF84" i="5" s="1"/>
  <c r="AC83" i="5"/>
  <c r="AC84" i="5" s="1"/>
  <c r="Z83" i="5"/>
  <c r="Z84" i="5" s="1"/>
  <c r="W83" i="5"/>
  <c r="W84" i="5" s="1"/>
  <c r="T83" i="5"/>
  <c r="T84" i="5" s="1"/>
  <c r="Q83" i="5"/>
  <c r="Q84" i="5" s="1"/>
  <c r="N83" i="5"/>
  <c r="N84" i="5" s="1"/>
  <c r="K83" i="5"/>
  <c r="K84" i="5" s="1"/>
  <c r="H83" i="5"/>
  <c r="C81" i="5"/>
  <c r="AK73" i="5"/>
  <c r="AJ73" i="5"/>
  <c r="AH73" i="5"/>
  <c r="AG73" i="5"/>
  <c r="AE73" i="5"/>
  <c r="AD73" i="5"/>
  <c r="AB73" i="5"/>
  <c r="AA73" i="5"/>
  <c r="Y73" i="5"/>
  <c r="V73" i="5"/>
  <c r="U73" i="5"/>
  <c r="S73" i="5"/>
  <c r="R73" i="5"/>
  <c r="P73" i="5"/>
  <c r="O73" i="5"/>
  <c r="M73" i="5"/>
  <c r="L73" i="5"/>
  <c r="J73" i="5"/>
  <c r="I73" i="5"/>
  <c r="G73" i="5"/>
  <c r="F73" i="5"/>
  <c r="AL72" i="5"/>
  <c r="AI72" i="5"/>
  <c r="AF72" i="5"/>
  <c r="AC72" i="5"/>
  <c r="Z72" i="5"/>
  <c r="W72" i="5"/>
  <c r="T72" i="5"/>
  <c r="Q72" i="5"/>
  <c r="N72" i="5"/>
  <c r="K72" i="5"/>
  <c r="H72" i="5"/>
  <c r="AL71" i="5"/>
  <c r="AI71" i="5"/>
  <c r="AF71" i="5"/>
  <c r="AC71" i="5"/>
  <c r="Z71" i="5"/>
  <c r="W71" i="5"/>
  <c r="T71" i="5"/>
  <c r="Q71" i="5"/>
  <c r="N71" i="5"/>
  <c r="K71" i="5"/>
  <c r="H71" i="5"/>
  <c r="AL70" i="5"/>
  <c r="AI70" i="5"/>
  <c r="AF70" i="5"/>
  <c r="AC70" i="5"/>
  <c r="Z70" i="5"/>
  <c r="W70" i="5"/>
  <c r="T70" i="5"/>
  <c r="Q70" i="5"/>
  <c r="N70" i="5"/>
  <c r="K70" i="5"/>
  <c r="H70" i="5"/>
  <c r="AL69" i="5"/>
  <c r="AI69" i="5"/>
  <c r="AF69" i="5"/>
  <c r="AC69" i="5"/>
  <c r="Z69" i="5"/>
  <c r="W69" i="5"/>
  <c r="T69" i="5"/>
  <c r="Q69" i="5"/>
  <c r="N69" i="5"/>
  <c r="K69" i="5"/>
  <c r="H69" i="5"/>
  <c r="AL64" i="5"/>
  <c r="AK64" i="5"/>
  <c r="AJ64" i="5"/>
  <c r="AI64" i="5"/>
  <c r="AH64" i="5"/>
  <c r="AG64" i="5"/>
  <c r="AF64" i="5"/>
  <c r="AE64" i="5"/>
  <c r="AD64" i="5"/>
  <c r="AC64" i="5"/>
  <c r="AB64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G64" i="5"/>
  <c r="F64" i="5"/>
  <c r="H63" i="5"/>
  <c r="C63" i="5" s="1"/>
  <c r="C64" i="5" s="1"/>
  <c r="AK60" i="5"/>
  <c r="AJ60" i="5"/>
  <c r="AH60" i="5"/>
  <c r="AG60" i="5"/>
  <c r="AE60" i="5"/>
  <c r="AD60" i="5"/>
  <c r="AB60" i="5"/>
  <c r="AA60" i="5"/>
  <c r="Y60" i="5"/>
  <c r="X60" i="5"/>
  <c r="V60" i="5"/>
  <c r="U60" i="5"/>
  <c r="S60" i="5"/>
  <c r="R60" i="5"/>
  <c r="P60" i="5"/>
  <c r="O60" i="5"/>
  <c r="M60" i="5"/>
  <c r="L60" i="5"/>
  <c r="J60" i="5"/>
  <c r="I60" i="5"/>
  <c r="G60" i="5"/>
  <c r="F60" i="5"/>
  <c r="AL59" i="5"/>
  <c r="AI59" i="5"/>
  <c r="AF59" i="5"/>
  <c r="AC59" i="5"/>
  <c r="Z59" i="5"/>
  <c r="W59" i="5"/>
  <c r="T59" i="5"/>
  <c r="Q59" i="5"/>
  <c r="N59" i="5"/>
  <c r="K59" i="5"/>
  <c r="H59" i="5"/>
  <c r="AL58" i="5"/>
  <c r="AI58" i="5"/>
  <c r="AF58" i="5"/>
  <c r="AF60" i="5" s="1"/>
  <c r="AC58" i="5"/>
  <c r="Z58" i="5"/>
  <c r="W58" i="5"/>
  <c r="T58" i="5"/>
  <c r="Q58" i="5"/>
  <c r="N58" i="5"/>
  <c r="K58" i="5"/>
  <c r="H58" i="5"/>
  <c r="C52" i="5"/>
  <c r="A49" i="5"/>
  <c r="S46" i="5"/>
  <c r="AL40" i="5"/>
  <c r="AI40" i="5"/>
  <c r="AF40" i="5"/>
  <c r="AC40" i="5"/>
  <c r="Z40" i="5"/>
  <c r="W40" i="5"/>
  <c r="T40" i="5"/>
  <c r="Q40" i="5"/>
  <c r="N40" i="5"/>
  <c r="K40" i="5"/>
  <c r="H40" i="5"/>
  <c r="AK39" i="5"/>
  <c r="AJ39" i="5"/>
  <c r="AH39" i="5"/>
  <c r="AG39" i="5"/>
  <c r="AE39" i="5"/>
  <c r="AD39" i="5"/>
  <c r="AB39" i="5"/>
  <c r="AA39" i="5"/>
  <c r="Y39" i="5"/>
  <c r="X39" i="5"/>
  <c r="V39" i="5"/>
  <c r="U39" i="5"/>
  <c r="S39" i="5"/>
  <c r="R39" i="5"/>
  <c r="P39" i="5"/>
  <c r="O39" i="5"/>
  <c r="M39" i="5"/>
  <c r="L39" i="5"/>
  <c r="J39" i="5"/>
  <c r="I39" i="5"/>
  <c r="G39" i="5"/>
  <c r="F39" i="5"/>
  <c r="D39" i="5"/>
  <c r="AL38" i="5"/>
  <c r="AI38" i="5"/>
  <c r="AF38" i="5"/>
  <c r="AC38" i="5"/>
  <c r="Z38" i="5"/>
  <c r="W38" i="5"/>
  <c r="T38" i="5"/>
  <c r="Q38" i="5"/>
  <c r="N38" i="5"/>
  <c r="K38" i="5"/>
  <c r="H38" i="5"/>
  <c r="AL37" i="5"/>
  <c r="AI37" i="5"/>
  <c r="AF37" i="5"/>
  <c r="AC37" i="5"/>
  <c r="Z37" i="5"/>
  <c r="W37" i="5"/>
  <c r="T37" i="5"/>
  <c r="Q37" i="5"/>
  <c r="N37" i="5"/>
  <c r="K37" i="5"/>
  <c r="H37" i="5"/>
  <c r="AL36" i="5"/>
  <c r="AI36" i="5"/>
  <c r="AF36" i="5"/>
  <c r="AC36" i="5"/>
  <c r="Z36" i="5"/>
  <c r="W36" i="5"/>
  <c r="T36" i="5"/>
  <c r="Q36" i="5"/>
  <c r="N36" i="5"/>
  <c r="K36" i="5"/>
  <c r="H36" i="5"/>
  <c r="AL31" i="5"/>
  <c r="AI31" i="5"/>
  <c r="AF31" i="5"/>
  <c r="AC31" i="5"/>
  <c r="Z31" i="5"/>
  <c r="W31" i="5"/>
  <c r="T31" i="5"/>
  <c r="Q31" i="5"/>
  <c r="N31" i="5"/>
  <c r="K31" i="5"/>
  <c r="H31" i="5"/>
  <c r="AK30" i="5"/>
  <c r="AJ30" i="5"/>
  <c r="AH30" i="5"/>
  <c r="AG30" i="5"/>
  <c r="AE30" i="5"/>
  <c r="AD30" i="5"/>
  <c r="AB30" i="5"/>
  <c r="AA30" i="5"/>
  <c r="Y30" i="5"/>
  <c r="V30" i="5"/>
  <c r="U30" i="5"/>
  <c r="S30" i="5"/>
  <c r="P30" i="5"/>
  <c r="M30" i="5"/>
  <c r="L30" i="5"/>
  <c r="J30" i="5"/>
  <c r="G30" i="5"/>
  <c r="D30" i="5"/>
  <c r="AL29" i="5"/>
  <c r="AI29" i="5"/>
  <c r="AF29" i="5"/>
  <c r="AC29" i="5"/>
  <c r="Z29" i="5"/>
  <c r="W29" i="5"/>
  <c r="N29" i="5"/>
  <c r="F30" i="5"/>
  <c r="AL28" i="5"/>
  <c r="AI28" i="5"/>
  <c r="AF28" i="5"/>
  <c r="AC28" i="5"/>
  <c r="Z28" i="5"/>
  <c r="W28" i="5"/>
  <c r="T28" i="5"/>
  <c r="Q28" i="5"/>
  <c r="N28" i="5"/>
  <c r="K28" i="5"/>
  <c r="H28" i="5"/>
  <c r="AL27" i="5"/>
  <c r="AI27" i="5"/>
  <c r="AF27" i="5"/>
  <c r="AC27" i="5"/>
  <c r="Z27" i="5"/>
  <c r="W27" i="5"/>
  <c r="T27" i="5"/>
  <c r="Q27" i="5"/>
  <c r="N27" i="5"/>
  <c r="K27" i="5"/>
  <c r="H27" i="5"/>
  <c r="AL26" i="5"/>
  <c r="AI26" i="5"/>
  <c r="AF26" i="5"/>
  <c r="AC26" i="5"/>
  <c r="Z26" i="5"/>
  <c r="W26" i="5"/>
  <c r="T26" i="5"/>
  <c r="Q26" i="5"/>
  <c r="N26" i="5"/>
  <c r="K26" i="5"/>
  <c r="H26" i="5"/>
  <c r="AL25" i="5"/>
  <c r="AI25" i="5"/>
  <c r="AF25" i="5"/>
  <c r="AC25" i="5"/>
  <c r="Z25" i="5"/>
  <c r="W25" i="5"/>
  <c r="T25" i="5"/>
  <c r="Q25" i="5"/>
  <c r="N25" i="5"/>
  <c r="K25" i="5"/>
  <c r="H25" i="5"/>
  <c r="AK21" i="5"/>
  <c r="AJ21" i="5"/>
  <c r="AH21" i="5"/>
  <c r="AG21" i="5"/>
  <c r="AE21" i="5"/>
  <c r="AD21" i="5"/>
  <c r="AB21" i="5"/>
  <c r="AA21" i="5"/>
  <c r="Y21" i="5"/>
  <c r="X21" i="5"/>
  <c r="V21" i="5"/>
  <c r="U21" i="5"/>
  <c r="S21" i="5"/>
  <c r="P21" i="5"/>
  <c r="M21" i="5"/>
  <c r="J21" i="5"/>
  <c r="G21" i="5"/>
  <c r="D21" i="5"/>
  <c r="D32" i="5" s="1"/>
  <c r="D41" i="5" s="1"/>
  <c r="AL20" i="5"/>
  <c r="AI20" i="5"/>
  <c r="AF20" i="5"/>
  <c r="AC20" i="5"/>
  <c r="Z20" i="5"/>
  <c r="W20" i="5"/>
  <c r="T20" i="5"/>
  <c r="Q20" i="5"/>
  <c r="N20" i="5"/>
  <c r="H20" i="5"/>
  <c r="AL19" i="5"/>
  <c r="AI19" i="5"/>
  <c r="AF19" i="5"/>
  <c r="AC19" i="5"/>
  <c r="Z19" i="5"/>
  <c r="W19" i="5"/>
  <c r="T19" i="5"/>
  <c r="Q19" i="5"/>
  <c r="N19" i="5"/>
  <c r="K19" i="5"/>
  <c r="H19" i="5"/>
  <c r="AL18" i="5"/>
  <c r="AI18" i="5"/>
  <c r="AF18" i="5"/>
  <c r="AC18" i="5"/>
  <c r="Z18" i="5"/>
  <c r="W18" i="5"/>
  <c r="T18" i="5"/>
  <c r="Q18" i="5"/>
  <c r="N18" i="5"/>
  <c r="K18" i="5"/>
  <c r="H18" i="5"/>
  <c r="AL17" i="5"/>
  <c r="AI17" i="5"/>
  <c r="AF17" i="5"/>
  <c r="AC17" i="5"/>
  <c r="Z17" i="5"/>
  <c r="W17" i="5"/>
  <c r="T17" i="5"/>
  <c r="Q17" i="5"/>
  <c r="N17" i="5"/>
  <c r="K17" i="5"/>
  <c r="H17" i="5"/>
  <c r="AL16" i="5"/>
  <c r="AI16" i="5"/>
  <c r="AF16" i="5"/>
  <c r="AC16" i="5"/>
  <c r="Z16" i="5"/>
  <c r="W16" i="5"/>
  <c r="T16" i="5"/>
  <c r="Q16" i="5"/>
  <c r="N16" i="5"/>
  <c r="AL15" i="5"/>
  <c r="AI15" i="5"/>
  <c r="AF15" i="5"/>
  <c r="Z15" i="5"/>
  <c r="W15" i="5"/>
  <c r="T15" i="5"/>
  <c r="Q15" i="5"/>
  <c r="N15" i="5"/>
  <c r="K15" i="5"/>
  <c r="H15" i="5"/>
  <c r="AL14" i="5"/>
  <c r="AI14" i="5"/>
  <c r="AF14" i="5"/>
  <c r="AC14" i="5"/>
  <c r="Z14" i="5"/>
  <c r="W14" i="5"/>
  <c r="T14" i="5"/>
  <c r="Q14" i="5"/>
  <c r="N14" i="5"/>
  <c r="K14" i="5"/>
  <c r="H14" i="5"/>
  <c r="AL13" i="5"/>
  <c r="AI13" i="5"/>
  <c r="AF13" i="5"/>
  <c r="AC13" i="5"/>
  <c r="Z13" i="5"/>
  <c r="W13" i="5"/>
  <c r="T13" i="5"/>
  <c r="Q13" i="5"/>
  <c r="N13" i="5"/>
  <c r="K13" i="5"/>
  <c r="H13" i="5"/>
  <c r="AC12" i="5"/>
  <c r="Z12" i="5"/>
  <c r="W12" i="5"/>
  <c r="T12" i="5"/>
  <c r="Q12" i="5"/>
  <c r="N12" i="5"/>
  <c r="K12" i="5"/>
  <c r="H12" i="5"/>
  <c r="AL11" i="5"/>
  <c r="AI11" i="5"/>
  <c r="AF11" i="5"/>
  <c r="AC11" i="5"/>
  <c r="Z11" i="5"/>
  <c r="W11" i="5"/>
  <c r="T11" i="5"/>
  <c r="Q11" i="5"/>
  <c r="N11" i="5"/>
  <c r="K11" i="5"/>
  <c r="H11" i="5"/>
  <c r="AC10" i="5"/>
  <c r="Z10" i="5"/>
  <c r="W10" i="5"/>
  <c r="Q10" i="5"/>
  <c r="N10" i="5"/>
  <c r="K10" i="5"/>
  <c r="H10" i="5"/>
  <c r="AC9" i="5"/>
  <c r="Z9" i="5"/>
  <c r="W9" i="5"/>
  <c r="T9" i="5"/>
  <c r="N9" i="5"/>
  <c r="K9" i="5"/>
  <c r="H9" i="5"/>
  <c r="AC8" i="5"/>
  <c r="Z8" i="5"/>
  <c r="W8" i="5"/>
  <c r="T8" i="5"/>
  <c r="Q8" i="5"/>
  <c r="N8" i="5"/>
  <c r="K8" i="5"/>
  <c r="H8" i="5"/>
  <c r="AL7" i="5"/>
  <c r="AI7" i="5"/>
  <c r="AF7" i="5"/>
  <c r="AC7" i="5"/>
  <c r="Z7" i="5"/>
  <c r="W7" i="5"/>
  <c r="Q7" i="5"/>
  <c r="N7" i="5"/>
  <c r="K7" i="5"/>
  <c r="H7" i="5"/>
  <c r="AC15" i="2"/>
  <c r="AC37" i="2"/>
  <c r="AC30" i="2"/>
  <c r="AC12" i="2"/>
  <c r="AC10" i="2"/>
  <c r="AC9" i="2"/>
  <c r="AC8" i="2"/>
  <c r="Z12" i="2"/>
  <c r="Z10" i="2"/>
  <c r="Z9" i="2"/>
  <c r="Z8" i="2"/>
  <c r="X30" i="2"/>
  <c r="X31" i="2" s="1"/>
  <c r="W84" i="2"/>
  <c r="W73" i="2"/>
  <c r="W37" i="2"/>
  <c r="W30" i="2"/>
  <c r="W27" i="2"/>
  <c r="W15" i="2"/>
  <c r="W12" i="2"/>
  <c r="W10" i="2"/>
  <c r="W9" i="2"/>
  <c r="W8" i="2"/>
  <c r="R31" i="2"/>
  <c r="R10" i="2"/>
  <c r="T10" i="2" s="1"/>
  <c r="R16" i="2"/>
  <c r="T16" i="2" s="1"/>
  <c r="T12" i="2"/>
  <c r="T9" i="2"/>
  <c r="T8" i="2"/>
  <c r="O96" i="2"/>
  <c r="O97" i="2" s="1"/>
  <c r="O31" i="2"/>
  <c r="O21" i="2"/>
  <c r="O10" i="2"/>
  <c r="Q10" i="2" s="1"/>
  <c r="O9" i="2"/>
  <c r="O17" i="2"/>
  <c r="Q12" i="2"/>
  <c r="Q8" i="2"/>
  <c r="P13" i="2"/>
  <c r="O13" i="2"/>
  <c r="AL93" i="2"/>
  <c r="AI93" i="2"/>
  <c r="AF93" i="2"/>
  <c r="AC93" i="2"/>
  <c r="Z93" i="2"/>
  <c r="W93" i="2"/>
  <c r="T93" i="2"/>
  <c r="Q93" i="2"/>
  <c r="N93" i="2"/>
  <c r="K93" i="2"/>
  <c r="AL59" i="2"/>
  <c r="AI59" i="2"/>
  <c r="AF59" i="2"/>
  <c r="AC59" i="2"/>
  <c r="Z59" i="2"/>
  <c r="W59" i="2"/>
  <c r="T59" i="2"/>
  <c r="Q59" i="2"/>
  <c r="N59" i="2"/>
  <c r="K59" i="2"/>
  <c r="AL39" i="2"/>
  <c r="AL38" i="2"/>
  <c r="AI39" i="2"/>
  <c r="AI38" i="2"/>
  <c r="AF39" i="2"/>
  <c r="AF38" i="2"/>
  <c r="AC39" i="2"/>
  <c r="AC38" i="2"/>
  <c r="Z39" i="2"/>
  <c r="Z38" i="2"/>
  <c r="W39" i="2"/>
  <c r="W38" i="2"/>
  <c r="T39" i="2"/>
  <c r="T38" i="2"/>
  <c r="AL26" i="2"/>
  <c r="AI26" i="2"/>
  <c r="AF26" i="2"/>
  <c r="AC26" i="2"/>
  <c r="Z26" i="2"/>
  <c r="W26" i="2"/>
  <c r="T26" i="2"/>
  <c r="Q26" i="2"/>
  <c r="N12" i="2"/>
  <c r="N9" i="2"/>
  <c r="N8" i="2"/>
  <c r="Q39" i="2"/>
  <c r="Q38" i="2"/>
  <c r="N39" i="2"/>
  <c r="N38" i="2"/>
  <c r="K39" i="2"/>
  <c r="K38" i="2"/>
  <c r="G31" i="2"/>
  <c r="I31" i="2"/>
  <c r="J31" i="2"/>
  <c r="L31" i="2"/>
  <c r="M31" i="2"/>
  <c r="P31" i="2"/>
  <c r="S31" i="2"/>
  <c r="U31" i="2"/>
  <c r="V31" i="2"/>
  <c r="Y31" i="2"/>
  <c r="AA31" i="2"/>
  <c r="AB31" i="2"/>
  <c r="AD31" i="2"/>
  <c r="AE31" i="2"/>
  <c r="AG31" i="2"/>
  <c r="AH31" i="2"/>
  <c r="AJ31" i="2"/>
  <c r="AK31" i="2"/>
  <c r="N26" i="2"/>
  <c r="K26" i="2"/>
  <c r="H26" i="2"/>
  <c r="L16" i="2"/>
  <c r="L10" i="2"/>
  <c r="N10" i="2" s="1"/>
  <c r="I10" i="2"/>
  <c r="K10" i="2" s="1"/>
  <c r="I16" i="2"/>
  <c r="H10" i="2"/>
  <c r="I9" i="2"/>
  <c r="K9" i="2" s="1"/>
  <c r="H9" i="2"/>
  <c r="H8" i="2"/>
  <c r="K12" i="2"/>
  <c r="K8" i="2"/>
  <c r="H12" i="2"/>
  <c r="H93" i="2"/>
  <c r="H39" i="2"/>
  <c r="H38" i="2"/>
  <c r="G96" i="2"/>
  <c r="G97" i="2" s="1"/>
  <c r="I97" i="2"/>
  <c r="J97" i="2"/>
  <c r="L97" i="2"/>
  <c r="M97" i="2"/>
  <c r="P97" i="2"/>
  <c r="R97" i="2"/>
  <c r="S97" i="2"/>
  <c r="U97" i="2"/>
  <c r="V97" i="2"/>
  <c r="X97" i="2"/>
  <c r="Y97" i="2"/>
  <c r="AA97" i="2"/>
  <c r="AB97" i="2"/>
  <c r="AD97" i="2"/>
  <c r="AE97" i="2"/>
  <c r="AG97" i="2"/>
  <c r="AH97" i="2"/>
  <c r="AJ97" i="2"/>
  <c r="AK97" i="2"/>
  <c r="F97" i="2"/>
  <c r="G90" i="2"/>
  <c r="I90" i="2"/>
  <c r="J90" i="2"/>
  <c r="L90" i="2"/>
  <c r="M90" i="2"/>
  <c r="O90" i="2"/>
  <c r="P90" i="2"/>
  <c r="R90" i="2"/>
  <c r="S90" i="2"/>
  <c r="U90" i="2"/>
  <c r="V90" i="2"/>
  <c r="X90" i="2"/>
  <c r="Y90" i="2"/>
  <c r="AA90" i="2"/>
  <c r="AB90" i="2"/>
  <c r="AD90" i="2"/>
  <c r="AE90" i="2"/>
  <c r="AG90" i="2"/>
  <c r="AH90" i="2"/>
  <c r="AJ90" i="2"/>
  <c r="AK90" i="2"/>
  <c r="I85" i="2"/>
  <c r="L85" i="2"/>
  <c r="M85" i="2"/>
  <c r="O85" i="2"/>
  <c r="P85" i="2"/>
  <c r="R85" i="2"/>
  <c r="S85" i="2"/>
  <c r="U85" i="2"/>
  <c r="V85" i="2"/>
  <c r="X85" i="2"/>
  <c r="Y85" i="2"/>
  <c r="AA85" i="2"/>
  <c r="AB85" i="2"/>
  <c r="AD85" i="2"/>
  <c r="AE85" i="2"/>
  <c r="AG85" i="2"/>
  <c r="AH85" i="2"/>
  <c r="AJ85" i="2"/>
  <c r="AK85" i="2"/>
  <c r="F90" i="2"/>
  <c r="F85" i="2"/>
  <c r="G74" i="2"/>
  <c r="I74" i="2"/>
  <c r="J74" i="2"/>
  <c r="L74" i="2"/>
  <c r="M74" i="2"/>
  <c r="O74" i="2"/>
  <c r="P74" i="2"/>
  <c r="R74" i="2"/>
  <c r="S74" i="2"/>
  <c r="U74" i="2"/>
  <c r="V74" i="2"/>
  <c r="X74" i="2"/>
  <c r="Y74" i="2"/>
  <c r="AA74" i="2"/>
  <c r="AB74" i="2"/>
  <c r="AD74" i="2"/>
  <c r="AE74" i="2"/>
  <c r="AG74" i="2"/>
  <c r="AH74" i="2"/>
  <c r="AJ74" i="2"/>
  <c r="AK74" i="2"/>
  <c r="F74" i="2"/>
  <c r="H64" i="2"/>
  <c r="H59" i="2"/>
  <c r="G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F65" i="2"/>
  <c r="G61" i="2"/>
  <c r="I61" i="2"/>
  <c r="J61" i="2"/>
  <c r="J66" i="2" s="1"/>
  <c r="J75" i="2" s="1"/>
  <c r="L61" i="2"/>
  <c r="M61" i="2"/>
  <c r="O61" i="2"/>
  <c r="P61" i="2"/>
  <c r="R61" i="2"/>
  <c r="S61" i="2"/>
  <c r="U61" i="2"/>
  <c r="V61" i="2"/>
  <c r="X61" i="2"/>
  <c r="Y61" i="2"/>
  <c r="AA61" i="2"/>
  <c r="AB61" i="2"/>
  <c r="AD61" i="2"/>
  <c r="AE61" i="2"/>
  <c r="AG61" i="2"/>
  <c r="AH61" i="2"/>
  <c r="AH66" i="2" s="1"/>
  <c r="AJ61" i="2"/>
  <c r="AK61" i="2"/>
  <c r="F61" i="2"/>
  <c r="G40" i="2"/>
  <c r="I40" i="2"/>
  <c r="J40" i="2"/>
  <c r="L40" i="2"/>
  <c r="M40" i="2"/>
  <c r="O40" i="2"/>
  <c r="P40" i="2"/>
  <c r="R40" i="2"/>
  <c r="S40" i="2"/>
  <c r="U40" i="2"/>
  <c r="V40" i="2"/>
  <c r="X40" i="2"/>
  <c r="Y40" i="2"/>
  <c r="AA40" i="2"/>
  <c r="AB40" i="2"/>
  <c r="AD40" i="2"/>
  <c r="AE40" i="2"/>
  <c r="AG40" i="2"/>
  <c r="AH40" i="2"/>
  <c r="AJ40" i="2"/>
  <c r="AK40" i="2"/>
  <c r="F40" i="2"/>
  <c r="F31" i="2"/>
  <c r="AL7" i="2"/>
  <c r="AL11" i="2"/>
  <c r="AL13" i="2"/>
  <c r="AL14" i="2"/>
  <c r="AL15" i="2"/>
  <c r="AL16" i="2"/>
  <c r="AL17" i="2"/>
  <c r="AL18" i="2"/>
  <c r="AL19" i="2"/>
  <c r="AL21" i="2"/>
  <c r="AL27" i="2"/>
  <c r="AL28" i="2"/>
  <c r="AL29" i="2"/>
  <c r="AL30" i="2"/>
  <c r="AL32" i="2"/>
  <c r="AL37" i="2"/>
  <c r="AL41" i="2"/>
  <c r="AL60" i="2"/>
  <c r="AL61" i="2" s="1"/>
  <c r="AL66" i="2" s="1"/>
  <c r="AL70" i="2"/>
  <c r="AL71" i="2"/>
  <c r="AL72" i="2"/>
  <c r="AL73" i="2"/>
  <c r="AL84" i="2"/>
  <c r="AL87" i="2"/>
  <c r="AL88" i="2"/>
  <c r="AL89" i="2"/>
  <c r="AL90" i="2" s="1"/>
  <c r="AL94" i="2"/>
  <c r="AL95" i="2"/>
  <c r="AL96" i="2"/>
  <c r="AI7" i="2"/>
  <c r="AI11" i="2"/>
  <c r="AI13" i="2"/>
  <c r="AI14" i="2"/>
  <c r="AI15" i="2"/>
  <c r="AI16" i="2"/>
  <c r="AI17" i="2"/>
  <c r="AI18" i="2"/>
  <c r="AI19" i="2"/>
  <c r="AI21" i="2"/>
  <c r="AI27" i="2"/>
  <c r="AI28" i="2"/>
  <c r="AI29" i="2"/>
  <c r="AI30" i="2"/>
  <c r="AI32" i="2"/>
  <c r="AI37" i="2"/>
  <c r="AI41" i="2"/>
  <c r="AI60" i="2"/>
  <c r="AI61" i="2" s="1"/>
  <c r="AI66" i="2" s="1"/>
  <c r="AI70" i="2"/>
  <c r="AI71" i="2"/>
  <c r="AI72" i="2"/>
  <c r="AI73" i="2"/>
  <c r="AI84" i="2"/>
  <c r="AI87" i="2"/>
  <c r="AI88" i="2"/>
  <c r="AI89" i="2"/>
  <c r="AI90" i="2" s="1"/>
  <c r="AI94" i="2"/>
  <c r="AI95" i="2"/>
  <c r="AI96" i="2"/>
  <c r="AF7" i="2"/>
  <c r="AF11" i="2"/>
  <c r="AF13" i="2"/>
  <c r="AF14" i="2"/>
  <c r="AF15" i="2"/>
  <c r="AF16" i="2"/>
  <c r="AF17" i="2"/>
  <c r="AF18" i="2"/>
  <c r="AF19" i="2"/>
  <c r="AF21" i="2"/>
  <c r="AF27" i="2"/>
  <c r="AF28" i="2"/>
  <c r="AF29" i="2"/>
  <c r="AF30" i="2"/>
  <c r="AF32" i="2"/>
  <c r="AF37" i="2"/>
  <c r="AF41" i="2"/>
  <c r="AF60" i="2"/>
  <c r="AF70" i="2"/>
  <c r="AF71" i="2"/>
  <c r="AF72" i="2"/>
  <c r="AF73" i="2"/>
  <c r="AF84" i="2"/>
  <c r="AF87" i="2"/>
  <c r="AF88" i="2"/>
  <c r="AF89" i="2"/>
  <c r="AF90" i="2" s="1"/>
  <c r="AF94" i="2"/>
  <c r="AF95" i="2"/>
  <c r="AF96" i="2"/>
  <c r="AC7" i="2"/>
  <c r="AC11" i="2"/>
  <c r="AC13" i="2"/>
  <c r="AC14" i="2"/>
  <c r="AC16" i="2"/>
  <c r="AC17" i="2"/>
  <c r="AC18" i="2"/>
  <c r="AC19" i="2"/>
  <c r="AC21" i="2"/>
  <c r="AC27" i="2"/>
  <c r="AC28" i="2"/>
  <c r="AC29" i="2"/>
  <c r="AC32" i="2"/>
  <c r="AC41" i="2"/>
  <c r="AC60" i="2"/>
  <c r="AC61" i="2" s="1"/>
  <c r="AC70" i="2"/>
  <c r="AC71" i="2"/>
  <c r="AC72" i="2"/>
  <c r="AC73" i="2"/>
  <c r="AC84" i="2"/>
  <c r="AC87" i="2"/>
  <c r="AC88" i="2"/>
  <c r="AC89" i="2"/>
  <c r="AC90" i="2" s="1"/>
  <c r="AC94" i="2"/>
  <c r="AC95" i="2"/>
  <c r="AC96" i="2"/>
  <c r="Z7" i="2"/>
  <c r="Z11" i="2"/>
  <c r="Z13" i="2"/>
  <c r="Z14" i="2"/>
  <c r="Z15" i="2"/>
  <c r="Z16" i="2"/>
  <c r="Z17" i="2"/>
  <c r="Z18" i="2"/>
  <c r="Z19" i="2"/>
  <c r="Z21" i="2"/>
  <c r="Z27" i="2"/>
  <c r="Z28" i="2"/>
  <c r="Z29" i="2"/>
  <c r="Z30" i="2"/>
  <c r="Z32" i="2"/>
  <c r="Z37" i="2"/>
  <c r="Z41" i="2"/>
  <c r="Z60" i="2"/>
  <c r="Z70" i="2"/>
  <c r="Z71" i="2"/>
  <c r="Z72" i="2"/>
  <c r="Z73" i="2"/>
  <c r="Z84" i="2"/>
  <c r="Z87" i="2"/>
  <c r="Z88" i="2"/>
  <c r="Z89" i="2"/>
  <c r="Z90" i="2" s="1"/>
  <c r="Z94" i="2"/>
  <c r="Z95" i="2"/>
  <c r="Z96" i="2"/>
  <c r="W7" i="2"/>
  <c r="W11" i="2"/>
  <c r="W13" i="2"/>
  <c r="W14" i="2"/>
  <c r="W16" i="2"/>
  <c r="W17" i="2"/>
  <c r="W18" i="2"/>
  <c r="W19" i="2"/>
  <c r="W21" i="2"/>
  <c r="W28" i="2"/>
  <c r="W29" i="2"/>
  <c r="W32" i="2"/>
  <c r="W40" i="2"/>
  <c r="W41" i="2"/>
  <c r="W60" i="2"/>
  <c r="W61" i="2" s="1"/>
  <c r="W70" i="2"/>
  <c r="W71" i="2"/>
  <c r="W72" i="2"/>
  <c r="W87" i="2"/>
  <c r="W88" i="2"/>
  <c r="W89" i="2"/>
  <c r="W90" i="2" s="1"/>
  <c r="W94" i="2"/>
  <c r="W95" i="2"/>
  <c r="W96" i="2"/>
  <c r="T7" i="2"/>
  <c r="T11" i="2"/>
  <c r="T13" i="2"/>
  <c r="T14" i="2"/>
  <c r="T15" i="2"/>
  <c r="T17" i="2"/>
  <c r="T18" i="2"/>
  <c r="T19" i="2"/>
  <c r="T21" i="2"/>
  <c r="T27" i="2"/>
  <c r="T28" i="2"/>
  <c r="T29" i="2"/>
  <c r="T30" i="2"/>
  <c r="T32" i="2"/>
  <c r="T37" i="2"/>
  <c r="T41" i="2"/>
  <c r="T60" i="2"/>
  <c r="T70" i="2"/>
  <c r="T71" i="2"/>
  <c r="T72" i="2"/>
  <c r="T73" i="2"/>
  <c r="T84" i="2"/>
  <c r="T87" i="2"/>
  <c r="T88" i="2"/>
  <c r="T89" i="2"/>
  <c r="T90" i="2" s="1"/>
  <c r="T94" i="2"/>
  <c r="T95" i="2"/>
  <c r="T96" i="2"/>
  <c r="Q7" i="2"/>
  <c r="Q11" i="2"/>
  <c r="Q13" i="2"/>
  <c r="Q14" i="2"/>
  <c r="Q15" i="2"/>
  <c r="Q16" i="2"/>
  <c r="Q17" i="2"/>
  <c r="Q18" i="2"/>
  <c r="Q19" i="2"/>
  <c r="Q21" i="2"/>
  <c r="Q27" i="2"/>
  <c r="Q28" i="2"/>
  <c r="Q29" i="2"/>
  <c r="Q32" i="2"/>
  <c r="Q37" i="2"/>
  <c r="Q40" i="2" s="1"/>
  <c r="Q41" i="2"/>
  <c r="Q60" i="2"/>
  <c r="Q70" i="2"/>
  <c r="Q71" i="2"/>
  <c r="Q72" i="2"/>
  <c r="Q73" i="2"/>
  <c r="Q84" i="2"/>
  <c r="Q87" i="2"/>
  <c r="Q88" i="2"/>
  <c r="Q89" i="2"/>
  <c r="Q90" i="2" s="1"/>
  <c r="Q94" i="2"/>
  <c r="Q95" i="2"/>
  <c r="N7" i="2"/>
  <c r="N11" i="2"/>
  <c r="N13" i="2"/>
  <c r="N14" i="2"/>
  <c r="N15" i="2"/>
  <c r="N16" i="2"/>
  <c r="N17" i="2"/>
  <c r="N18" i="2"/>
  <c r="N19" i="2"/>
  <c r="N21" i="2"/>
  <c r="N27" i="2"/>
  <c r="N28" i="2"/>
  <c r="N29" i="2"/>
  <c r="N30" i="2"/>
  <c r="N32" i="2"/>
  <c r="N37" i="2"/>
  <c r="N41" i="2"/>
  <c r="N60" i="2"/>
  <c r="N70" i="2"/>
  <c r="N71" i="2"/>
  <c r="N72" i="2"/>
  <c r="N73" i="2"/>
  <c r="N84" i="2"/>
  <c r="N87" i="2"/>
  <c r="N88" i="2"/>
  <c r="N89" i="2"/>
  <c r="N90" i="2" s="1"/>
  <c r="N94" i="2"/>
  <c r="N95" i="2"/>
  <c r="N96" i="2"/>
  <c r="K7" i="2"/>
  <c r="K11" i="2"/>
  <c r="K13" i="2"/>
  <c r="K14" i="2"/>
  <c r="K15" i="2"/>
  <c r="K16" i="2"/>
  <c r="K17" i="2"/>
  <c r="K18" i="2"/>
  <c r="K19" i="2"/>
  <c r="K21" i="2"/>
  <c r="K27" i="2"/>
  <c r="K28" i="2"/>
  <c r="K29" i="2"/>
  <c r="K30" i="2"/>
  <c r="K32" i="2"/>
  <c r="K37" i="2"/>
  <c r="K41" i="2"/>
  <c r="K60" i="2"/>
  <c r="K70" i="2"/>
  <c r="K71" i="2"/>
  <c r="K72" i="2"/>
  <c r="K73" i="2"/>
  <c r="K87" i="2"/>
  <c r="K88" i="2"/>
  <c r="K89" i="2"/>
  <c r="K90" i="2" s="1"/>
  <c r="K94" i="2"/>
  <c r="K95" i="2"/>
  <c r="K96" i="2"/>
  <c r="H7" i="2"/>
  <c r="H11" i="2"/>
  <c r="H13" i="2"/>
  <c r="H14" i="2"/>
  <c r="H15" i="2"/>
  <c r="H17" i="2"/>
  <c r="H18" i="2"/>
  <c r="H19" i="2"/>
  <c r="H21" i="2"/>
  <c r="H27" i="2"/>
  <c r="H28" i="2"/>
  <c r="H29" i="2"/>
  <c r="H30" i="2"/>
  <c r="H32" i="2"/>
  <c r="H37" i="2"/>
  <c r="H41" i="2"/>
  <c r="H60" i="2"/>
  <c r="H70" i="2"/>
  <c r="H71" i="2"/>
  <c r="H72" i="2"/>
  <c r="H73" i="2"/>
  <c r="H87" i="2"/>
  <c r="H88" i="2"/>
  <c r="H89" i="2"/>
  <c r="H94" i="2"/>
  <c r="H95" i="2"/>
  <c r="H96" i="2"/>
  <c r="AK22" i="2"/>
  <c r="AJ22" i="2"/>
  <c r="AH22" i="2"/>
  <c r="AG22" i="2"/>
  <c r="AE22" i="2"/>
  <c r="AD22" i="2"/>
  <c r="AD33" i="2" s="1"/>
  <c r="AB22" i="2"/>
  <c r="AA22" i="2"/>
  <c r="Y22" i="2"/>
  <c r="X22" i="2"/>
  <c r="U22" i="2"/>
  <c r="U33" i="2" s="1"/>
  <c r="V22" i="2"/>
  <c r="S22" i="2"/>
  <c r="S33" i="2" s="1"/>
  <c r="P22" i="2"/>
  <c r="M22" i="2"/>
  <c r="M33" i="2" s="1"/>
  <c r="L22" i="2"/>
  <c r="L33" i="2" s="1"/>
  <c r="J22" i="2"/>
  <c r="G22" i="2"/>
  <c r="F16" i="2"/>
  <c r="C82" i="2"/>
  <c r="C53" i="2"/>
  <c r="A50" i="2"/>
  <c r="D40" i="2"/>
  <c r="D31" i="2"/>
  <c r="D22" i="2"/>
  <c r="A49" i="1"/>
  <c r="C86" i="1"/>
  <c r="E39" i="1"/>
  <c r="E30" i="1"/>
  <c r="E21" i="1"/>
  <c r="AG101" i="8" l="1"/>
  <c r="AG66" i="2"/>
  <c r="Z75" i="8"/>
  <c r="K33" i="8"/>
  <c r="K42" i="8" s="1"/>
  <c r="K46" i="8" s="1"/>
  <c r="K47" i="8" s="1"/>
  <c r="P42" i="7"/>
  <c r="P46" i="7" s="1"/>
  <c r="P47" i="7" s="1"/>
  <c r="AK33" i="7"/>
  <c r="X66" i="7"/>
  <c r="N46" i="8"/>
  <c r="N47" i="8" s="1"/>
  <c r="X97" i="5"/>
  <c r="Y66" i="7"/>
  <c r="AO33" i="7"/>
  <c r="AO42" i="7" s="1"/>
  <c r="AO46" i="7" s="1"/>
  <c r="Z101" i="8"/>
  <c r="U66" i="2"/>
  <c r="U101" i="8"/>
  <c r="AJ101" i="8"/>
  <c r="R30" i="5"/>
  <c r="P101" i="8"/>
  <c r="M65" i="5"/>
  <c r="M74" i="5" s="1"/>
  <c r="M33" i="7"/>
  <c r="M42" i="7" s="1"/>
  <c r="M46" i="7" s="1"/>
  <c r="M47" i="7" s="1"/>
  <c r="O101" i="8"/>
  <c r="AG65" i="5"/>
  <c r="AG74" i="5" s="1"/>
  <c r="O96" i="5"/>
  <c r="AA101" i="8"/>
  <c r="AK101" i="8"/>
  <c r="F103" i="10"/>
  <c r="Y33" i="7"/>
  <c r="Y42" i="7" s="1"/>
  <c r="Y46" i="7" s="1"/>
  <c r="Y47" i="7" s="1"/>
  <c r="AH101" i="8"/>
  <c r="AH33" i="2"/>
  <c r="AH42" i="2" s="1"/>
  <c r="AA33" i="7"/>
  <c r="AA42" i="7" s="1"/>
  <c r="AJ33" i="2"/>
  <c r="AJ42" i="2" s="1"/>
  <c r="V97" i="5"/>
  <c r="V99" i="5" s="1"/>
  <c r="AF61" i="7"/>
  <c r="C125" i="7"/>
  <c r="AC101" i="8"/>
  <c r="V32" i="5"/>
  <c r="V41" i="5" s="1"/>
  <c r="V45" i="5" s="1"/>
  <c r="V46" i="5" s="1"/>
  <c r="O22" i="2"/>
  <c r="L66" i="7"/>
  <c r="L74" i="7" s="1"/>
  <c r="Z33" i="8"/>
  <c r="Z42" i="8" s="1"/>
  <c r="Z46" i="8" s="1"/>
  <c r="Z47" i="8" s="1"/>
  <c r="S65" i="5"/>
  <c r="S74" i="5" s="1"/>
  <c r="R22" i="2"/>
  <c r="R33" i="2" s="1"/>
  <c r="R42" i="2" s="1"/>
  <c r="R46" i="2" s="1"/>
  <c r="N61" i="2"/>
  <c r="N66" i="2" s="1"/>
  <c r="AA32" i="5"/>
  <c r="L32" i="5"/>
  <c r="L41" i="5" s="1"/>
  <c r="L45" i="5" s="1"/>
  <c r="AH33" i="7"/>
  <c r="AH42" i="7" s="1"/>
  <c r="AH46" i="7" s="1"/>
  <c r="AH47" i="7" s="1"/>
  <c r="AM101" i="2"/>
  <c r="C40" i="8"/>
  <c r="AE101" i="8"/>
  <c r="S42" i="2"/>
  <c r="V66" i="2"/>
  <c r="V75" i="2" s="1"/>
  <c r="AJ33" i="7"/>
  <c r="AJ42" i="7" s="1"/>
  <c r="AL101" i="8"/>
  <c r="AK42" i="7"/>
  <c r="AK46" i="7" s="1"/>
  <c r="AK47" i="7" s="1"/>
  <c r="D47" i="8"/>
  <c r="C61" i="8"/>
  <c r="C66" i="8" s="1"/>
  <c r="K61" i="2"/>
  <c r="AI39" i="5"/>
  <c r="AF101" i="8"/>
  <c r="D5" i="4"/>
  <c r="C15" i="2"/>
  <c r="J97" i="5"/>
  <c r="J99" i="5" s="1"/>
  <c r="S101" i="8"/>
  <c r="T46" i="10"/>
  <c r="T47" i="10" s="1"/>
  <c r="C36" i="4"/>
  <c r="D4" i="4"/>
  <c r="Q101" i="8"/>
  <c r="AO101" i="8"/>
  <c r="U66" i="7"/>
  <c r="U74" i="7" s="1"/>
  <c r="J101" i="8"/>
  <c r="L65" i="5"/>
  <c r="Q61" i="2"/>
  <c r="Q66" i="2" s="1"/>
  <c r="C10" i="2"/>
  <c r="T60" i="5"/>
  <c r="V101" i="8"/>
  <c r="R21" i="5"/>
  <c r="R32" i="5" s="1"/>
  <c r="R41" i="5" s="1"/>
  <c r="R45" i="5" s="1"/>
  <c r="R46" i="5" s="1"/>
  <c r="AA41" i="5"/>
  <c r="AA45" i="5" s="1"/>
  <c r="AA46" i="5" s="1"/>
  <c r="L74" i="5"/>
  <c r="K39" i="5"/>
  <c r="G66" i="2"/>
  <c r="G75" i="2" s="1"/>
  <c r="AJ65" i="5"/>
  <c r="AJ74" i="5" s="1"/>
  <c r="AO33" i="2"/>
  <c r="AO42" i="2" s="1"/>
  <c r="AO46" i="2" s="1"/>
  <c r="AO47" i="2" s="1"/>
  <c r="C94" i="2"/>
  <c r="C7" i="2"/>
  <c r="C39" i="2"/>
  <c r="W39" i="5"/>
  <c r="AK65" i="5"/>
  <c r="AK74" i="5" s="1"/>
  <c r="O21" i="5"/>
  <c r="O32" i="5" s="1"/>
  <c r="O41" i="5" s="1"/>
  <c r="O45" i="5" s="1"/>
  <c r="O46" i="5" s="1"/>
  <c r="G101" i="8"/>
  <c r="K40" i="2"/>
  <c r="U65" i="5"/>
  <c r="C59" i="2"/>
  <c r="U75" i="2"/>
  <c r="AC40" i="2"/>
  <c r="AG32" i="5"/>
  <c r="AG41" i="5" s="1"/>
  <c r="AG45" i="5" s="1"/>
  <c r="AG46" i="5" s="1"/>
  <c r="I30" i="5"/>
  <c r="AD97" i="5"/>
  <c r="AD99" i="5" s="1"/>
  <c r="AB33" i="2"/>
  <c r="AB42" i="2" s="1"/>
  <c r="AB46" i="2" s="1"/>
  <c r="AB47" i="2" s="1"/>
  <c r="X65" i="5"/>
  <c r="AB33" i="7"/>
  <c r="AB42" i="7" s="1"/>
  <c r="AB46" i="7" s="1"/>
  <c r="AB47" i="7" s="1"/>
  <c r="AG66" i="7"/>
  <c r="AG74" i="7" s="1"/>
  <c r="C31" i="8"/>
  <c r="AC33" i="8"/>
  <c r="AC42" i="8" s="1"/>
  <c r="AC46" i="8" s="1"/>
  <c r="AC47" i="8" s="1"/>
  <c r="J33" i="2"/>
  <c r="J42" i="2" s="1"/>
  <c r="C21" i="2"/>
  <c r="Z61" i="2"/>
  <c r="Z66" i="2" s="1"/>
  <c r="Y65" i="5"/>
  <c r="Y74" i="5" s="1"/>
  <c r="AD33" i="7"/>
  <c r="Q33" i="8"/>
  <c r="Q42" i="8" s="1"/>
  <c r="Q46" i="8" s="1"/>
  <c r="Q47" i="8" s="1"/>
  <c r="L42" i="2"/>
  <c r="L46" i="2" s="1"/>
  <c r="L47" i="2" s="1"/>
  <c r="S32" i="5"/>
  <c r="S41" i="5" s="1"/>
  <c r="C38" i="5"/>
  <c r="I65" i="5"/>
  <c r="AA65" i="5"/>
  <c r="AA74" i="5" s="1"/>
  <c r="P97" i="5"/>
  <c r="P99" i="5" s="1"/>
  <c r="AH97" i="5"/>
  <c r="AH99" i="5" s="1"/>
  <c r="AH100" i="5" s="1"/>
  <c r="D33" i="7"/>
  <c r="D42" i="7" s="1"/>
  <c r="AE33" i="7"/>
  <c r="AE42" i="7" s="1"/>
  <c r="AE46" i="7" s="1"/>
  <c r="AE47" i="7" s="1"/>
  <c r="AJ66" i="7"/>
  <c r="AJ74" i="7" s="1"/>
  <c r="AD42" i="2"/>
  <c r="M42" i="2"/>
  <c r="M46" i="2" s="1"/>
  <c r="M47" i="2" s="1"/>
  <c r="U32" i="5"/>
  <c r="U41" i="5" s="1"/>
  <c r="U45" i="5" s="1"/>
  <c r="U46" i="5" s="1"/>
  <c r="AJ97" i="5"/>
  <c r="AG33" i="7"/>
  <c r="AG42" i="7" s="1"/>
  <c r="S66" i="7"/>
  <c r="M97" i="7"/>
  <c r="H33" i="8"/>
  <c r="H42" i="8" s="1"/>
  <c r="H46" i="8" s="1"/>
  <c r="AO74" i="7"/>
  <c r="AI33" i="8"/>
  <c r="AI42" i="8" s="1"/>
  <c r="AI46" i="8" s="1"/>
  <c r="AI47" i="8" s="1"/>
  <c r="C96" i="10"/>
  <c r="C97" i="10" s="1"/>
  <c r="C99" i="10" s="1"/>
  <c r="H100" i="10"/>
  <c r="AO101" i="10" s="1"/>
  <c r="C74" i="10"/>
  <c r="C33" i="10"/>
  <c r="C42" i="10" s="1"/>
  <c r="H47" i="10"/>
  <c r="Q85" i="2"/>
  <c r="T85" i="2"/>
  <c r="AL85" i="2"/>
  <c r="Q9" i="2"/>
  <c r="C9" i="2" s="1"/>
  <c r="Y33" i="2"/>
  <c r="Y42" i="2" s="1"/>
  <c r="AK33" i="2"/>
  <c r="AK42" i="2" s="1"/>
  <c r="H90" i="2"/>
  <c r="C89" i="2"/>
  <c r="C29" i="2"/>
  <c r="C14" i="2"/>
  <c r="W85" i="2"/>
  <c r="Z40" i="2"/>
  <c r="AH75" i="2"/>
  <c r="C8" i="2"/>
  <c r="C26" i="2"/>
  <c r="I22" i="2"/>
  <c r="I33" i="2" s="1"/>
  <c r="I42" i="2" s="1"/>
  <c r="P33" i="2"/>
  <c r="P42" i="2" s="1"/>
  <c r="P46" i="2" s="1"/>
  <c r="P47" i="2" s="1"/>
  <c r="V33" i="2"/>
  <c r="V42" i="2" s="1"/>
  <c r="AA33" i="2"/>
  <c r="AA42" i="2" s="1"/>
  <c r="AG33" i="2"/>
  <c r="AG42" i="2" s="1"/>
  <c r="AG46" i="2" s="1"/>
  <c r="AG47" i="2" s="1"/>
  <c r="C71" i="2"/>
  <c r="H40" i="2"/>
  <c r="C37" i="2"/>
  <c r="C28" i="2"/>
  <c r="C18" i="2"/>
  <c r="C13" i="2"/>
  <c r="N40" i="2"/>
  <c r="Q96" i="2"/>
  <c r="C96" i="2" s="1"/>
  <c r="AF85" i="2"/>
  <c r="AI40" i="2"/>
  <c r="AG75" i="2"/>
  <c r="C12" i="2"/>
  <c r="H16" i="5"/>
  <c r="N60" i="5"/>
  <c r="N65" i="5" s="1"/>
  <c r="Z60" i="5"/>
  <c r="Z65" i="5" s="1"/>
  <c r="AL60" i="5"/>
  <c r="AL65" i="5" s="1"/>
  <c r="R65" i="5"/>
  <c r="R74" i="5" s="1"/>
  <c r="AD65" i="5"/>
  <c r="AD74" i="5" s="1"/>
  <c r="G65" i="5"/>
  <c r="G74" i="5" s="1"/>
  <c r="M97" i="5"/>
  <c r="M99" i="5" s="1"/>
  <c r="S97" i="5"/>
  <c r="S99" i="5" s="1"/>
  <c r="Y97" i="5"/>
  <c r="Y99" i="5" s="1"/>
  <c r="AE97" i="5"/>
  <c r="AE99" i="5" s="1"/>
  <c r="AK97" i="5"/>
  <c r="AK99" i="5" s="1"/>
  <c r="AC96" i="5"/>
  <c r="AC97" i="5" s="1"/>
  <c r="AC99" i="5" s="1"/>
  <c r="AD97" i="7"/>
  <c r="AD99" i="7" s="1"/>
  <c r="C22" i="8"/>
  <c r="W101" i="8"/>
  <c r="N75" i="8"/>
  <c r="N101" i="8" s="1"/>
  <c r="T33" i="8"/>
  <c r="T42" i="8" s="1"/>
  <c r="U42" i="2"/>
  <c r="U46" i="2" s="1"/>
  <c r="U47" i="2" s="1"/>
  <c r="C95" i="2"/>
  <c r="C70" i="2"/>
  <c r="C27" i="2"/>
  <c r="C17" i="2"/>
  <c r="C11" i="2"/>
  <c r="K66" i="2"/>
  <c r="N85" i="2"/>
  <c r="T40" i="2"/>
  <c r="C73" i="2"/>
  <c r="AC85" i="2"/>
  <c r="AF61" i="2"/>
  <c r="AF66" i="2" s="1"/>
  <c r="AI85" i="2"/>
  <c r="AL40" i="2"/>
  <c r="C38" i="2"/>
  <c r="U74" i="5"/>
  <c r="U97" i="5"/>
  <c r="AA97" i="5"/>
  <c r="AA99" i="5" s="1"/>
  <c r="AG97" i="5"/>
  <c r="AG99" i="5" s="1"/>
  <c r="H96" i="5"/>
  <c r="AF96" i="5"/>
  <c r="AF97" i="5" s="1"/>
  <c r="AF99" i="5" s="1"/>
  <c r="C7" i="7"/>
  <c r="V33" i="7"/>
  <c r="V42" i="7" s="1"/>
  <c r="V46" i="7" s="1"/>
  <c r="V47" i="7" s="1"/>
  <c r="T101" i="8"/>
  <c r="N33" i="8"/>
  <c r="N42" i="8" s="1"/>
  <c r="H16" i="2"/>
  <c r="C16" i="2" s="1"/>
  <c r="F22" i="2"/>
  <c r="F33" i="2" s="1"/>
  <c r="F42" i="2" s="1"/>
  <c r="H61" i="2"/>
  <c r="C60" i="2"/>
  <c r="AE33" i="2"/>
  <c r="AE42" i="2" s="1"/>
  <c r="AE46" i="2" s="1"/>
  <c r="AE47" i="2" s="1"/>
  <c r="C72" i="2"/>
  <c r="C19" i="2"/>
  <c r="T61" i="2"/>
  <c r="T66" i="2" s="1"/>
  <c r="AF40" i="2"/>
  <c r="C64" i="2"/>
  <c r="C65" i="2" s="1"/>
  <c r="C93" i="2"/>
  <c r="M32" i="5"/>
  <c r="M41" i="5" s="1"/>
  <c r="M45" i="5" s="1"/>
  <c r="M46" i="5" s="1"/>
  <c r="AB32" i="5"/>
  <c r="AB41" i="5" s="1"/>
  <c r="AB45" i="5" s="1"/>
  <c r="AB46" i="5" s="1"/>
  <c r="AH32" i="5"/>
  <c r="AH41" i="5" s="1"/>
  <c r="AH45" i="5" s="1"/>
  <c r="AH46" i="5" s="1"/>
  <c r="AB99" i="5"/>
  <c r="Z96" i="5"/>
  <c r="Z97" i="5" s="1"/>
  <c r="Z99" i="5" s="1"/>
  <c r="AL96" i="5"/>
  <c r="AL97" i="5" s="1"/>
  <c r="AL99" i="5" s="1"/>
  <c r="J66" i="7"/>
  <c r="J74" i="7" s="1"/>
  <c r="J97" i="7"/>
  <c r="J99" i="7" s="1"/>
  <c r="D33" i="4"/>
  <c r="C74" i="8"/>
  <c r="C75" i="8" s="1"/>
  <c r="AI101" i="8"/>
  <c r="AO33" i="8"/>
  <c r="AO42" i="8" s="1"/>
  <c r="AO46" i="8" s="1"/>
  <c r="AO47" i="8" s="1"/>
  <c r="AF33" i="8"/>
  <c r="AF42" i="8" s="1"/>
  <c r="AF46" i="8" s="1"/>
  <c r="AF47" i="8" s="1"/>
  <c r="AM101" i="8"/>
  <c r="L101" i="8"/>
  <c r="C83" i="7"/>
  <c r="G33" i="7"/>
  <c r="G42" i="7" s="1"/>
  <c r="G46" i="7" s="1"/>
  <c r="G47" i="7" s="1"/>
  <c r="T61" i="7"/>
  <c r="T66" i="7" s="1"/>
  <c r="P97" i="7"/>
  <c r="P99" i="7" s="1"/>
  <c r="P100" i="7" s="1"/>
  <c r="P102" i="7" s="1"/>
  <c r="I66" i="7"/>
  <c r="I74" i="7" s="1"/>
  <c r="AM100" i="7"/>
  <c r="O33" i="7"/>
  <c r="O42" i="7" s="1"/>
  <c r="S33" i="7"/>
  <c r="S42" i="7" s="1"/>
  <c r="S46" i="7" s="1"/>
  <c r="S47" i="7" s="1"/>
  <c r="N61" i="7"/>
  <c r="N66" i="7" s="1"/>
  <c r="P66" i="7"/>
  <c r="P74" i="7" s="1"/>
  <c r="AB66" i="7"/>
  <c r="AB74" i="7" s="1"/>
  <c r="W22" i="7"/>
  <c r="AI22" i="7"/>
  <c r="AF66" i="7"/>
  <c r="V97" i="7"/>
  <c r="V99" i="7" s="1"/>
  <c r="AB97" i="7"/>
  <c r="AB99" i="7" s="1"/>
  <c r="AH97" i="7"/>
  <c r="AH99" i="7" s="1"/>
  <c r="J33" i="7"/>
  <c r="J42" i="7" s="1"/>
  <c r="J46" i="7" s="1"/>
  <c r="J47" i="7" s="1"/>
  <c r="N40" i="7"/>
  <c r="Z40" i="7"/>
  <c r="AL40" i="7"/>
  <c r="Q61" i="7"/>
  <c r="Q66" i="7" s="1"/>
  <c r="AC61" i="7"/>
  <c r="AC66" i="7" s="1"/>
  <c r="G66" i="7"/>
  <c r="G74" i="7" s="1"/>
  <c r="S74" i="7"/>
  <c r="Y74" i="7"/>
  <c r="AK74" i="7"/>
  <c r="AA97" i="7"/>
  <c r="AA99" i="7" s="1"/>
  <c r="AG97" i="7"/>
  <c r="AN100" i="7"/>
  <c r="W40" i="7"/>
  <c r="AI40" i="7"/>
  <c r="Z61" i="7"/>
  <c r="Z66" i="7" s="1"/>
  <c r="AL61" i="7"/>
  <c r="AL66" i="7" s="1"/>
  <c r="AH66" i="7"/>
  <c r="AH74" i="7" s="1"/>
  <c r="Z96" i="7"/>
  <c r="Z97" i="7" s="1"/>
  <c r="AL96" i="7"/>
  <c r="AL97" i="7" s="1"/>
  <c r="AF22" i="7"/>
  <c r="C19" i="7"/>
  <c r="AI31" i="7"/>
  <c r="AI33" i="7" s="1"/>
  <c r="AI42" i="7" s="1"/>
  <c r="AI46" i="7" s="1"/>
  <c r="AI47" i="7" s="1"/>
  <c r="M66" i="7"/>
  <c r="M74" i="7" s="1"/>
  <c r="R66" i="7"/>
  <c r="R74" i="7" s="1"/>
  <c r="AD66" i="7"/>
  <c r="AD74" i="7" s="1"/>
  <c r="AE97" i="7"/>
  <c r="AK97" i="7"/>
  <c r="AK99" i="7" s="1"/>
  <c r="AO100" i="7"/>
  <c r="AL73" i="7"/>
  <c r="C13" i="7"/>
  <c r="C60" i="7"/>
  <c r="H47" i="8"/>
  <c r="H100" i="8"/>
  <c r="H101" i="8" s="1"/>
  <c r="C96" i="8"/>
  <c r="C97" i="8" s="1"/>
  <c r="C98" i="8" s="1"/>
  <c r="C100" i="8" s="1"/>
  <c r="AF31" i="7"/>
  <c r="AD42" i="7"/>
  <c r="AD46" i="7" s="1"/>
  <c r="AD47" i="7" s="1"/>
  <c r="C26" i="7"/>
  <c r="L33" i="7"/>
  <c r="L42" i="7" s="1"/>
  <c r="L46" i="7" s="1"/>
  <c r="N46" i="7" s="1"/>
  <c r="N47" i="7" s="1"/>
  <c r="C30" i="7"/>
  <c r="C11" i="7"/>
  <c r="K84" i="7"/>
  <c r="W84" i="7"/>
  <c r="AI84" i="7"/>
  <c r="D31" i="4"/>
  <c r="N22" i="7"/>
  <c r="Z22" i="7"/>
  <c r="AL22" i="7"/>
  <c r="C17" i="7"/>
  <c r="N31" i="7"/>
  <c r="Z31" i="7"/>
  <c r="C29" i="7"/>
  <c r="Q40" i="7"/>
  <c r="AC40" i="7"/>
  <c r="C38" i="7"/>
  <c r="W61" i="7"/>
  <c r="W66" i="7" s="1"/>
  <c r="AI61" i="7"/>
  <c r="AI66" i="7" s="1"/>
  <c r="O66" i="7"/>
  <c r="O74" i="7" s="1"/>
  <c r="AE66" i="7"/>
  <c r="AE74" i="7" s="1"/>
  <c r="H84" i="7"/>
  <c r="AG99" i="7"/>
  <c r="AG100" i="7" s="1"/>
  <c r="AC96" i="7"/>
  <c r="AC97" i="7" s="1"/>
  <c r="C93" i="7"/>
  <c r="C12" i="7"/>
  <c r="C14" i="7"/>
  <c r="C18" i="7"/>
  <c r="H61" i="7"/>
  <c r="C59" i="7"/>
  <c r="C70" i="7"/>
  <c r="T84" i="7"/>
  <c r="AF84" i="7"/>
  <c r="D30" i="4"/>
  <c r="C94" i="7"/>
  <c r="AM46" i="7"/>
  <c r="AM47" i="7" s="1"/>
  <c r="M99" i="7"/>
  <c r="K96" i="7"/>
  <c r="K97" i="7" s="1"/>
  <c r="U97" i="7"/>
  <c r="U99" i="7" s="1"/>
  <c r="AA46" i="7"/>
  <c r="AA47" i="7" s="1"/>
  <c r="AG46" i="7"/>
  <c r="AG47" i="7" s="1"/>
  <c r="C64" i="7"/>
  <c r="C65" i="7" s="1"/>
  <c r="Q84" i="7"/>
  <c r="AC84" i="7"/>
  <c r="C88" i="7"/>
  <c r="C89" i="7" s="1"/>
  <c r="C15" i="7"/>
  <c r="C21" i="7"/>
  <c r="C27" i="7"/>
  <c r="C71" i="7"/>
  <c r="AI96" i="7"/>
  <c r="R97" i="7"/>
  <c r="R99" i="7" s="1"/>
  <c r="Y97" i="7"/>
  <c r="Y99" i="7" s="1"/>
  <c r="C28" i="7"/>
  <c r="N84" i="7"/>
  <c r="Z84" i="7"/>
  <c r="AL84" i="7"/>
  <c r="C92" i="7"/>
  <c r="AC22" i="7"/>
  <c r="C16" i="7"/>
  <c r="AC31" i="7"/>
  <c r="H40" i="7"/>
  <c r="T40" i="7"/>
  <c r="AF40" i="7"/>
  <c r="V66" i="7"/>
  <c r="V74" i="7" s="1"/>
  <c r="AA66" i="7"/>
  <c r="AA74" i="7" s="1"/>
  <c r="W73" i="7"/>
  <c r="C72" i="7"/>
  <c r="AF96" i="7"/>
  <c r="AF97" i="7" s="1"/>
  <c r="I97" i="7"/>
  <c r="I99" i="7" s="1"/>
  <c r="C37" i="7"/>
  <c r="Z85" i="2"/>
  <c r="AF73" i="7"/>
  <c r="AF74" i="7" s="1"/>
  <c r="C84" i="7"/>
  <c r="AO101" i="2"/>
  <c r="W96" i="7"/>
  <c r="W97" i="7" s="1"/>
  <c r="C95" i="7"/>
  <c r="AO47" i="7"/>
  <c r="AI73" i="7"/>
  <c r="AC73" i="7"/>
  <c r="AJ97" i="7"/>
  <c r="AJ99" i="7" s="1"/>
  <c r="AL31" i="7"/>
  <c r="AL33" i="7" s="1"/>
  <c r="AL42" i="7" s="1"/>
  <c r="AL46" i="7" s="1"/>
  <c r="AL47" i="7" s="1"/>
  <c r="X97" i="7"/>
  <c r="X99" i="7" s="1"/>
  <c r="X74" i="7"/>
  <c r="Z73" i="7"/>
  <c r="Z74" i="7" s="1"/>
  <c r="W31" i="7"/>
  <c r="U33" i="7"/>
  <c r="U42" i="7" s="1"/>
  <c r="F97" i="7"/>
  <c r="F99" i="7" s="1"/>
  <c r="H89" i="7"/>
  <c r="F66" i="7"/>
  <c r="F74" i="7" s="1"/>
  <c r="H31" i="7"/>
  <c r="H22" i="7"/>
  <c r="N96" i="7"/>
  <c r="N97" i="7" s="1"/>
  <c r="L97" i="7"/>
  <c r="L99" i="7" s="1"/>
  <c r="N73" i="7"/>
  <c r="N74" i="7" s="1"/>
  <c r="K73" i="7"/>
  <c r="K61" i="7"/>
  <c r="K66" i="7" s="1"/>
  <c r="K40" i="7"/>
  <c r="I33" i="7"/>
  <c r="I42" i="7" s="1"/>
  <c r="K31" i="7"/>
  <c r="S96" i="7"/>
  <c r="S97" i="7" s="1"/>
  <c r="S99" i="7" s="1"/>
  <c r="T73" i="7"/>
  <c r="T31" i="7"/>
  <c r="T22" i="7"/>
  <c r="T96" i="7"/>
  <c r="T97" i="7" s="1"/>
  <c r="H73" i="7"/>
  <c r="Q96" i="7"/>
  <c r="Q97" i="7" s="1"/>
  <c r="Q73" i="7"/>
  <c r="Q31" i="7"/>
  <c r="C10" i="7"/>
  <c r="C8" i="7"/>
  <c r="D46" i="7"/>
  <c r="D47" i="7"/>
  <c r="AE99" i="7"/>
  <c r="Q22" i="7"/>
  <c r="AI97" i="7"/>
  <c r="K9" i="7"/>
  <c r="C9" i="7" s="1"/>
  <c r="F22" i="7"/>
  <c r="F33" i="7" s="1"/>
  <c r="F42" i="7" s="1"/>
  <c r="F46" i="7" s="1"/>
  <c r="R31" i="7"/>
  <c r="R33" i="7" s="1"/>
  <c r="R42" i="7" s="1"/>
  <c r="H96" i="7"/>
  <c r="H97" i="7" s="1"/>
  <c r="H99" i="7" s="1"/>
  <c r="C69" i="7"/>
  <c r="G97" i="7"/>
  <c r="G99" i="7" s="1"/>
  <c r="O96" i="7"/>
  <c r="O97" i="7" s="1"/>
  <c r="O99" i="7" s="1"/>
  <c r="X31" i="7"/>
  <c r="X33" i="7" s="1"/>
  <c r="X42" i="7" s="1"/>
  <c r="H65" i="7"/>
  <c r="AF73" i="5"/>
  <c r="O97" i="5"/>
  <c r="O99" i="5" s="1"/>
  <c r="L97" i="5"/>
  <c r="L99" i="5" s="1"/>
  <c r="I97" i="5"/>
  <c r="I99" i="5" s="1"/>
  <c r="I74" i="5"/>
  <c r="F97" i="5"/>
  <c r="F99" i="5" s="1"/>
  <c r="G32" i="5"/>
  <c r="G41" i="5" s="1"/>
  <c r="G45" i="5" s="1"/>
  <c r="G46" i="5" s="1"/>
  <c r="AI30" i="5"/>
  <c r="N39" i="5"/>
  <c r="Z39" i="5"/>
  <c r="AL39" i="5"/>
  <c r="AL73" i="5"/>
  <c r="AI73" i="5"/>
  <c r="C94" i="5"/>
  <c r="K21" i="5"/>
  <c r="W21" i="5"/>
  <c r="AI21" i="5"/>
  <c r="P32" i="5"/>
  <c r="P41" i="5" s="1"/>
  <c r="P45" i="5" s="1"/>
  <c r="P46" i="5" s="1"/>
  <c r="AD32" i="5"/>
  <c r="AD41" i="5" s="1"/>
  <c r="AD45" i="5" s="1"/>
  <c r="AD46" i="5" s="1"/>
  <c r="AJ32" i="5"/>
  <c r="AJ41" i="5" s="1"/>
  <c r="AJ45" i="5" s="1"/>
  <c r="AJ46" i="5" s="1"/>
  <c r="N30" i="5"/>
  <c r="Z30" i="5"/>
  <c r="AL30" i="5"/>
  <c r="AE32" i="5"/>
  <c r="AE41" i="5" s="1"/>
  <c r="AE45" i="5" s="1"/>
  <c r="AE46" i="5" s="1"/>
  <c r="AF39" i="5"/>
  <c r="W60" i="5"/>
  <c r="W65" i="5" s="1"/>
  <c r="AI60" i="5"/>
  <c r="AI65" i="5" s="1"/>
  <c r="J65" i="5"/>
  <c r="J74" i="5" s="1"/>
  <c r="P65" i="5"/>
  <c r="P74" i="5" s="1"/>
  <c r="V65" i="5"/>
  <c r="V74" i="5" s="1"/>
  <c r="AB65" i="5"/>
  <c r="AB74" i="5" s="1"/>
  <c r="AB100" i="5" s="1"/>
  <c r="AH65" i="5"/>
  <c r="AH74" i="5" s="1"/>
  <c r="O65" i="5"/>
  <c r="O74" i="5" s="1"/>
  <c r="AE65" i="5"/>
  <c r="AE74" i="5" s="1"/>
  <c r="C69" i="5"/>
  <c r="T73" i="5"/>
  <c r="K96" i="5"/>
  <c r="K97" i="5" s="1"/>
  <c r="K99" i="5" s="1"/>
  <c r="T96" i="5"/>
  <c r="T97" i="5" s="1"/>
  <c r="T99" i="5" s="1"/>
  <c r="R97" i="5"/>
  <c r="R99" i="5" s="1"/>
  <c r="Q96" i="5"/>
  <c r="Q97" i="5" s="1"/>
  <c r="Q99" i="5" s="1"/>
  <c r="C93" i="5"/>
  <c r="N96" i="5"/>
  <c r="N97" i="5" s="1"/>
  <c r="N99" i="5" s="1"/>
  <c r="AC73" i="5"/>
  <c r="W73" i="5"/>
  <c r="Q73" i="5"/>
  <c r="N73" i="5"/>
  <c r="C70" i="5"/>
  <c r="C71" i="5"/>
  <c r="K73" i="5"/>
  <c r="C72" i="5"/>
  <c r="H73" i="5"/>
  <c r="F65" i="5"/>
  <c r="F74" i="5" s="1"/>
  <c r="C59" i="5"/>
  <c r="K60" i="5"/>
  <c r="K65" i="5" s="1"/>
  <c r="H60" i="5"/>
  <c r="Z21" i="5"/>
  <c r="AL21" i="5"/>
  <c r="AL32" i="5" s="1"/>
  <c r="J32" i="5"/>
  <c r="J41" i="5" s="1"/>
  <c r="J45" i="5" s="1"/>
  <c r="J46" i="5" s="1"/>
  <c r="Y32" i="5"/>
  <c r="Y41" i="5" s="1"/>
  <c r="Y45" i="5" s="1"/>
  <c r="Y46" i="5" s="1"/>
  <c r="AK32" i="5"/>
  <c r="AK41" i="5" s="1"/>
  <c r="AK45" i="5" s="1"/>
  <c r="AK46" i="5" s="1"/>
  <c r="AC30" i="5"/>
  <c r="H39" i="5"/>
  <c r="T39" i="5"/>
  <c r="C37" i="5"/>
  <c r="C58" i="5"/>
  <c r="Q60" i="5"/>
  <c r="Q65" i="5" s="1"/>
  <c r="AC60" i="5"/>
  <c r="AC65" i="5" s="1"/>
  <c r="X73" i="5"/>
  <c r="C88" i="5"/>
  <c r="C89" i="5" s="1"/>
  <c r="Q39" i="5"/>
  <c r="AC39" i="5"/>
  <c r="AF21" i="5"/>
  <c r="Z73" i="5"/>
  <c r="Z74" i="5" s="1"/>
  <c r="U99" i="5"/>
  <c r="W96" i="5"/>
  <c r="W97" i="5" s="1"/>
  <c r="W99" i="5" s="1"/>
  <c r="AI96" i="5"/>
  <c r="AI97" i="5" s="1"/>
  <c r="AI99" i="5" s="1"/>
  <c r="AC21" i="5"/>
  <c r="T30" i="5"/>
  <c r="AF30" i="5"/>
  <c r="T65" i="5"/>
  <c r="AF65" i="5"/>
  <c r="C83" i="5"/>
  <c r="C92" i="5"/>
  <c r="G96" i="5"/>
  <c r="G97" i="5" s="1"/>
  <c r="G99" i="5" s="1"/>
  <c r="C36" i="5"/>
  <c r="W30" i="5"/>
  <c r="C26" i="5"/>
  <c r="C27" i="5"/>
  <c r="K30" i="5"/>
  <c r="C28" i="5"/>
  <c r="T21" i="5"/>
  <c r="C20" i="5"/>
  <c r="C11" i="5"/>
  <c r="C12" i="5"/>
  <c r="C14" i="5"/>
  <c r="N21" i="5"/>
  <c r="C17" i="5"/>
  <c r="C18" i="5"/>
  <c r="C7" i="5"/>
  <c r="C8" i="5"/>
  <c r="C13" i="5"/>
  <c r="C15" i="5"/>
  <c r="C19" i="5"/>
  <c r="D45" i="5"/>
  <c r="D46" i="5"/>
  <c r="F32" i="5"/>
  <c r="F41" i="5" s="1"/>
  <c r="F45" i="5" s="1"/>
  <c r="F46" i="5" s="1"/>
  <c r="X99" i="5"/>
  <c r="AJ99" i="5"/>
  <c r="T45" i="5"/>
  <c r="T46" i="5" s="1"/>
  <c r="L46" i="5"/>
  <c r="N45" i="5"/>
  <c r="N46" i="5" s="1"/>
  <c r="C10" i="5"/>
  <c r="C16" i="5"/>
  <c r="C95" i="5"/>
  <c r="H21" i="5"/>
  <c r="Q9" i="5"/>
  <c r="C9" i="5" s="1"/>
  <c r="I21" i="5"/>
  <c r="I32" i="5" s="1"/>
  <c r="I41" i="5" s="1"/>
  <c r="I45" i="5" s="1"/>
  <c r="I46" i="5" s="1"/>
  <c r="H29" i="5"/>
  <c r="Q29" i="5"/>
  <c r="Q30" i="5" s="1"/>
  <c r="H84" i="5"/>
  <c r="H89" i="5"/>
  <c r="H97" i="5" s="1"/>
  <c r="C25" i="5"/>
  <c r="X30" i="5"/>
  <c r="X32" i="5" s="1"/>
  <c r="X41" i="5" s="1"/>
  <c r="X45" i="5" s="1"/>
  <c r="X46" i="5" s="1"/>
  <c r="H64" i="5"/>
  <c r="W66" i="2"/>
  <c r="X33" i="2"/>
  <c r="X42" i="2" s="1"/>
  <c r="X46" i="2" s="1"/>
  <c r="X47" i="2" s="1"/>
  <c r="AB66" i="2"/>
  <c r="AB75" i="2" s="1"/>
  <c r="P66" i="2"/>
  <c r="P75" i="2" s="1"/>
  <c r="AC66" i="2"/>
  <c r="O66" i="2"/>
  <c r="O75" i="2" s="1"/>
  <c r="AK66" i="2"/>
  <c r="AK75" i="2" s="1"/>
  <c r="Y66" i="2"/>
  <c r="Y75" i="2" s="1"/>
  <c r="M66" i="2"/>
  <c r="M75" i="2" s="1"/>
  <c r="Q30" i="2"/>
  <c r="Q31" i="2" s="1"/>
  <c r="O33" i="2"/>
  <c r="O42" i="2" s="1"/>
  <c r="O46" i="2" s="1"/>
  <c r="O47" i="2" s="1"/>
  <c r="T31" i="2"/>
  <c r="Z31" i="2"/>
  <c r="AF31" i="2"/>
  <c r="AL31" i="2"/>
  <c r="AA66" i="2"/>
  <c r="AA75" i="2" s="1"/>
  <c r="K31" i="2"/>
  <c r="AD66" i="2"/>
  <c r="AD75" i="2" s="1"/>
  <c r="R66" i="2"/>
  <c r="R75" i="2" s="1"/>
  <c r="H31" i="2"/>
  <c r="W31" i="2"/>
  <c r="AC31" i="2"/>
  <c r="AI31" i="2"/>
  <c r="AE66" i="2"/>
  <c r="AE75" i="2" s="1"/>
  <c r="S66" i="2"/>
  <c r="S75" i="2" s="1"/>
  <c r="AJ66" i="2"/>
  <c r="AJ75" i="2" s="1"/>
  <c r="X66" i="2"/>
  <c r="X75" i="2" s="1"/>
  <c r="L66" i="2"/>
  <c r="L75" i="2" s="1"/>
  <c r="N46" i="2"/>
  <c r="AG98" i="2"/>
  <c r="AG100" i="2" s="1"/>
  <c r="AA98" i="2"/>
  <c r="AA100" i="2" s="1"/>
  <c r="U98" i="2"/>
  <c r="U100" i="2" s="1"/>
  <c r="U101" i="2" s="1"/>
  <c r="O98" i="2"/>
  <c r="O100" i="2" s="1"/>
  <c r="AK98" i="2"/>
  <c r="AK100" i="2" s="1"/>
  <c r="AE98" i="2"/>
  <c r="AE100" i="2" s="1"/>
  <c r="Y98" i="2"/>
  <c r="Y100" i="2" s="1"/>
  <c r="S98" i="2"/>
  <c r="M98" i="2"/>
  <c r="M100" i="2" s="1"/>
  <c r="N31" i="2"/>
  <c r="S100" i="2"/>
  <c r="AJ98" i="2"/>
  <c r="AJ100" i="2" s="1"/>
  <c r="AD98" i="2"/>
  <c r="AD100" i="2" s="1"/>
  <c r="X98" i="2"/>
  <c r="X100" i="2" s="1"/>
  <c r="R98" i="2"/>
  <c r="R100" i="2" s="1"/>
  <c r="F98" i="2"/>
  <c r="F100" i="2" s="1"/>
  <c r="AH98" i="2"/>
  <c r="AH100" i="2" s="1"/>
  <c r="AB98" i="2"/>
  <c r="AB100" i="2" s="1"/>
  <c r="V98" i="2"/>
  <c r="V100" i="2" s="1"/>
  <c r="P98" i="2"/>
  <c r="P100" i="2" s="1"/>
  <c r="J98" i="2"/>
  <c r="L98" i="2"/>
  <c r="L100" i="2" s="1"/>
  <c r="I98" i="2"/>
  <c r="I100" i="2" s="1"/>
  <c r="I66" i="2"/>
  <c r="I75" i="2" s="1"/>
  <c r="G98" i="2"/>
  <c r="H97" i="2"/>
  <c r="K97" i="2"/>
  <c r="K98" i="2" s="1"/>
  <c r="N97" i="2"/>
  <c r="N98" i="2" s="1"/>
  <c r="N100" i="2" s="1"/>
  <c r="T97" i="2"/>
  <c r="T98" i="2" s="1"/>
  <c r="T100" i="2" s="1"/>
  <c r="W97" i="2"/>
  <c r="W98" i="2" s="1"/>
  <c r="Z97" i="2"/>
  <c r="Z98" i="2" s="1"/>
  <c r="AC97" i="2"/>
  <c r="AC98" i="2" s="1"/>
  <c r="AF97" i="2"/>
  <c r="AF98" i="2" s="1"/>
  <c r="AF100" i="2" s="1"/>
  <c r="AI97" i="2"/>
  <c r="AI98" i="2" s="1"/>
  <c r="AI100" i="2" s="1"/>
  <c r="AL97" i="2"/>
  <c r="AL98" i="2" s="1"/>
  <c r="AL100" i="2" s="1"/>
  <c r="W74" i="2"/>
  <c r="AI74" i="2"/>
  <c r="AI75" i="2" s="1"/>
  <c r="H65" i="2"/>
  <c r="N74" i="2"/>
  <c r="N75" i="2" s="1"/>
  <c r="Z74" i="2"/>
  <c r="Z75" i="2" s="1"/>
  <c r="AL74" i="2"/>
  <c r="AL75" i="2" s="1"/>
  <c r="T74" i="2"/>
  <c r="AF74" i="2"/>
  <c r="K74" i="2"/>
  <c r="Q74" i="2"/>
  <c r="Q75" i="2" s="1"/>
  <c r="AC74" i="2"/>
  <c r="H74" i="2"/>
  <c r="F66" i="2"/>
  <c r="F75" i="2" s="1"/>
  <c r="G33" i="2"/>
  <c r="G42" i="2" s="1"/>
  <c r="AJ46" i="2"/>
  <c r="AJ47" i="2" s="1"/>
  <c r="AD46" i="2"/>
  <c r="AD47" i="2" s="1"/>
  <c r="AK46" i="2"/>
  <c r="AK47" i="2" s="1"/>
  <c r="Y46" i="2"/>
  <c r="Y47" i="2" s="1"/>
  <c r="S47" i="2"/>
  <c r="AA46" i="2"/>
  <c r="AA47" i="2" s="1"/>
  <c r="I46" i="2"/>
  <c r="I47" i="2" s="1"/>
  <c r="AH46" i="2"/>
  <c r="AH47" i="2" s="1"/>
  <c r="V46" i="2"/>
  <c r="V47" i="2" s="1"/>
  <c r="J46" i="2"/>
  <c r="J47" i="2" s="1"/>
  <c r="K22" i="2"/>
  <c r="W22" i="2"/>
  <c r="AI22" i="2"/>
  <c r="H22" i="2"/>
  <c r="T22" i="2"/>
  <c r="AF22" i="2"/>
  <c r="N22" i="2"/>
  <c r="Z22" i="2"/>
  <c r="AL22" i="2"/>
  <c r="Q22" i="2"/>
  <c r="AC22" i="2"/>
  <c r="D33" i="2"/>
  <c r="D42" i="2" s="1"/>
  <c r="E32" i="1"/>
  <c r="E41" i="1" s="1"/>
  <c r="C33" i="8" l="1"/>
  <c r="C42" i="8" s="1"/>
  <c r="AJ100" i="7"/>
  <c r="AI99" i="7"/>
  <c r="V100" i="5"/>
  <c r="S100" i="5"/>
  <c r="V100" i="7"/>
  <c r="V102" i="7" s="1"/>
  <c r="AE100" i="7"/>
  <c r="C64" i="1"/>
  <c r="C65" i="1" s="1"/>
  <c r="T99" i="7"/>
  <c r="AA100" i="5"/>
  <c r="AL41" i="5"/>
  <c r="AL45" i="5" s="1"/>
  <c r="AL46" i="5" s="1"/>
  <c r="T74" i="7"/>
  <c r="X74" i="5"/>
  <c r="C60" i="5"/>
  <c r="C65" i="5" s="1"/>
  <c r="O100" i="5"/>
  <c r="AA101" i="2"/>
  <c r="H65" i="5"/>
  <c r="H74" i="5" s="1"/>
  <c r="AJ100" i="5"/>
  <c r="Y100" i="7"/>
  <c r="Y102" i="7" s="1"/>
  <c r="H66" i="7"/>
  <c r="H74" i="7" s="1"/>
  <c r="H100" i="7" s="1"/>
  <c r="C46" i="10"/>
  <c r="C47" i="10" s="1"/>
  <c r="W100" i="2"/>
  <c r="Q74" i="5"/>
  <c r="Q100" i="5" s="1"/>
  <c r="P100" i="5"/>
  <c r="Q74" i="7"/>
  <c r="W74" i="5"/>
  <c r="J100" i="5"/>
  <c r="G100" i="7"/>
  <c r="G102" i="7" s="1"/>
  <c r="AE100" i="5"/>
  <c r="T74" i="5"/>
  <c r="K99" i="7"/>
  <c r="T75" i="2"/>
  <c r="T101" i="2" s="1"/>
  <c r="AC75" i="2"/>
  <c r="AC101" i="2" s="1"/>
  <c r="Z32" i="5"/>
  <c r="Z41" i="5" s="1"/>
  <c r="Z45" i="5" s="1"/>
  <c r="Z46" i="5" s="1"/>
  <c r="Z100" i="2"/>
  <c r="Z101" i="2" s="1"/>
  <c r="O46" i="7"/>
  <c r="O47" i="7" s="1"/>
  <c r="AC100" i="2"/>
  <c r="N32" i="5"/>
  <c r="N41" i="5" s="1"/>
  <c r="AF99" i="7"/>
  <c r="AF100" i="7" s="1"/>
  <c r="J100" i="7"/>
  <c r="J102" i="7" s="1"/>
  <c r="Q97" i="2"/>
  <c r="Q98" i="2" s="1"/>
  <c r="Q100" i="2" s="1"/>
  <c r="F100" i="5"/>
  <c r="W33" i="7"/>
  <c r="W42" i="7" s="1"/>
  <c r="W46" i="7" s="1"/>
  <c r="W47" i="7" s="1"/>
  <c r="AD100" i="7"/>
  <c r="L100" i="5"/>
  <c r="U100" i="7"/>
  <c r="C46" i="8"/>
  <c r="C47" i="8" s="1"/>
  <c r="H66" i="2"/>
  <c r="H75" i="2" s="1"/>
  <c r="Z100" i="5"/>
  <c r="H98" i="2"/>
  <c r="C100" i="10"/>
  <c r="AF74" i="5"/>
  <c r="AF100" i="5" s="1"/>
  <c r="C101" i="8"/>
  <c r="I101" i="2"/>
  <c r="R100" i="5"/>
  <c r="O101" i="2"/>
  <c r="W75" i="2"/>
  <c r="W101" i="2" s="1"/>
  <c r="W100" i="5"/>
  <c r="N74" i="5"/>
  <c r="AC74" i="7"/>
  <c r="AF33" i="7"/>
  <c r="AF42" i="7" s="1"/>
  <c r="AF46" i="7" s="1"/>
  <c r="AF47" i="7" s="1"/>
  <c r="AK100" i="7"/>
  <c r="AL99" i="7"/>
  <c r="AL74" i="5"/>
  <c r="AL100" i="5" s="1"/>
  <c r="C30" i="2"/>
  <c r="AD101" i="2"/>
  <c r="AD100" i="5"/>
  <c r="O100" i="7"/>
  <c r="L100" i="7"/>
  <c r="W99" i="7"/>
  <c r="AH100" i="7"/>
  <c r="D32" i="4"/>
  <c r="D34" i="4" s="1"/>
  <c r="F34" i="4" s="1"/>
  <c r="K75" i="2"/>
  <c r="AF75" i="2"/>
  <c r="AF101" i="2" s="1"/>
  <c r="AC74" i="5"/>
  <c r="AC100" i="5" s="1"/>
  <c r="AI74" i="5"/>
  <c r="AI100" i="5" s="1"/>
  <c r="C22" i="7"/>
  <c r="C16" i="4"/>
  <c r="S100" i="7"/>
  <c r="S102" i="7" s="1"/>
  <c r="I100" i="7"/>
  <c r="AB100" i="7"/>
  <c r="AB102" i="7" s="1"/>
  <c r="Q33" i="7"/>
  <c r="Q42" i="7" s="1"/>
  <c r="Q46" i="7" s="1"/>
  <c r="Q47" i="7" s="1"/>
  <c r="C94" i="1"/>
  <c r="T33" i="7"/>
  <c r="T42" i="7" s="1"/>
  <c r="Z99" i="7"/>
  <c r="Z100" i="7" s="1"/>
  <c r="M100" i="7"/>
  <c r="M102" i="7" s="1"/>
  <c r="AL74" i="7"/>
  <c r="AL100" i="7" s="1"/>
  <c r="AA100" i="7"/>
  <c r="L47" i="7"/>
  <c r="AI74" i="7"/>
  <c r="AI100" i="7" s="1"/>
  <c r="AC33" i="7"/>
  <c r="AC42" i="7" s="1"/>
  <c r="AC46" i="7" s="1"/>
  <c r="AC47" i="7" s="1"/>
  <c r="N99" i="7"/>
  <c r="N100" i="7" s="1"/>
  <c r="K74" i="7"/>
  <c r="K100" i="7" s="1"/>
  <c r="Q99" i="7"/>
  <c r="R46" i="7"/>
  <c r="R47" i="7" s="1"/>
  <c r="U46" i="7"/>
  <c r="U47" i="7" s="1"/>
  <c r="Z33" i="7"/>
  <c r="Z42" i="7" s="1"/>
  <c r="Z46" i="7" s="1"/>
  <c r="Z47" i="7" s="1"/>
  <c r="AJ46" i="7"/>
  <c r="AJ47" i="7" s="1"/>
  <c r="AC99" i="7"/>
  <c r="W74" i="7"/>
  <c r="X46" i="7"/>
  <c r="X47" i="7" s="1"/>
  <c r="I46" i="7"/>
  <c r="I47" i="7" s="1"/>
  <c r="N33" i="7"/>
  <c r="N42" i="7" s="1"/>
  <c r="F47" i="7"/>
  <c r="X100" i="7"/>
  <c r="F100" i="7"/>
  <c r="H33" i="7"/>
  <c r="H42" i="7" s="1"/>
  <c r="H46" i="7" s="1"/>
  <c r="C61" i="7"/>
  <c r="C66" i="7" s="1"/>
  <c r="R100" i="7"/>
  <c r="T100" i="7"/>
  <c r="C96" i="7"/>
  <c r="C97" i="7" s="1"/>
  <c r="C99" i="7" s="1"/>
  <c r="C73" i="7"/>
  <c r="C40" i="7"/>
  <c r="C39" i="1"/>
  <c r="C31" i="7"/>
  <c r="K22" i="7"/>
  <c r="K33" i="7" s="1"/>
  <c r="K42" i="7" s="1"/>
  <c r="K46" i="7" s="1"/>
  <c r="K47" i="7" s="1"/>
  <c r="K32" i="5"/>
  <c r="K41" i="5" s="1"/>
  <c r="K45" i="5" s="1"/>
  <c r="K46" i="5" s="1"/>
  <c r="AC32" i="5"/>
  <c r="AC41" i="5" s="1"/>
  <c r="AC45" i="5" s="1"/>
  <c r="AC46" i="5" s="1"/>
  <c r="X100" i="5"/>
  <c r="W32" i="5"/>
  <c r="W41" i="5" s="1"/>
  <c r="W45" i="5" s="1"/>
  <c r="W46" i="5" s="1"/>
  <c r="T32" i="5"/>
  <c r="T41" i="5" s="1"/>
  <c r="C84" i="5"/>
  <c r="K74" i="5"/>
  <c r="K100" i="5" s="1"/>
  <c r="C96" i="5"/>
  <c r="C97" i="5" s="1"/>
  <c r="C39" i="5"/>
  <c r="C21" i="5"/>
  <c r="C21" i="1"/>
  <c r="C32" i="1" s="1"/>
  <c r="C97" i="2"/>
  <c r="C101" i="1"/>
  <c r="C61" i="1"/>
  <c r="C67" i="1" s="1"/>
  <c r="C61" i="2"/>
  <c r="C66" i="2" s="1"/>
  <c r="C30" i="1"/>
  <c r="C31" i="2"/>
  <c r="C74" i="2"/>
  <c r="C74" i="1"/>
  <c r="C90" i="2"/>
  <c r="AI32" i="5"/>
  <c r="AI41" i="5" s="1"/>
  <c r="AI45" i="5" s="1"/>
  <c r="AI46" i="5" s="1"/>
  <c r="T100" i="5"/>
  <c r="N100" i="5"/>
  <c r="U100" i="5"/>
  <c r="C73" i="5"/>
  <c r="G100" i="5"/>
  <c r="AK100" i="5"/>
  <c r="AF32" i="5"/>
  <c r="AF41" i="5" s="1"/>
  <c r="AF45" i="5" s="1"/>
  <c r="AF46" i="5" s="1"/>
  <c r="AG100" i="5"/>
  <c r="I100" i="5"/>
  <c r="Y100" i="5"/>
  <c r="M100" i="5"/>
  <c r="Q21" i="5"/>
  <c r="Q32" i="5" s="1"/>
  <c r="Q41" i="5" s="1"/>
  <c r="Q45" i="5" s="1"/>
  <c r="Q46" i="5" s="1"/>
  <c r="H99" i="5"/>
  <c r="H100" i="5" s="1"/>
  <c r="C29" i="5"/>
  <c r="H30" i="5"/>
  <c r="H32" i="5" s="1"/>
  <c r="H41" i="5" s="1"/>
  <c r="H45" i="5" s="1"/>
  <c r="H46" i="5" s="1"/>
  <c r="L101" i="2"/>
  <c r="AG101" i="2"/>
  <c r="AJ101" i="2"/>
  <c r="G46" i="2"/>
  <c r="G47" i="2" s="1"/>
  <c r="R47" i="2"/>
  <c r="T46" i="2"/>
  <c r="X101" i="2"/>
  <c r="R101" i="2"/>
  <c r="C22" i="2"/>
  <c r="S101" i="2"/>
  <c r="V101" i="2"/>
  <c r="M101" i="2"/>
  <c r="AK101" i="2"/>
  <c r="P101" i="2"/>
  <c r="F101" i="2"/>
  <c r="AE101" i="2"/>
  <c r="AH101" i="2"/>
  <c r="Y101" i="2"/>
  <c r="AB101" i="2"/>
  <c r="C40" i="2"/>
  <c r="K84" i="2"/>
  <c r="J85" i="2"/>
  <c r="J100" i="2" s="1"/>
  <c r="J101" i="2" s="1"/>
  <c r="F46" i="2"/>
  <c r="F47" i="2" s="1"/>
  <c r="G85" i="2"/>
  <c r="G100" i="2" s="1"/>
  <c r="G101" i="2" s="1"/>
  <c r="H84" i="2"/>
  <c r="N101" i="2"/>
  <c r="AL101" i="2"/>
  <c r="Q101" i="2"/>
  <c r="AI101" i="2"/>
  <c r="N33" i="2"/>
  <c r="N42" i="2" s="1"/>
  <c r="N47" i="2" s="1"/>
  <c r="AC33" i="2"/>
  <c r="AC42" i="2" s="1"/>
  <c r="AC46" i="2" s="1"/>
  <c r="AC47" i="2" s="1"/>
  <c r="W33" i="2"/>
  <c r="W42" i="2" s="1"/>
  <c r="W46" i="2" s="1"/>
  <c r="W47" i="2" s="1"/>
  <c r="Q33" i="2"/>
  <c r="Q42" i="2" s="1"/>
  <c r="Q46" i="2" s="1"/>
  <c r="Q47" i="2" s="1"/>
  <c r="AL33" i="2"/>
  <c r="AL42" i="2" s="1"/>
  <c r="AL46" i="2" s="1"/>
  <c r="AL47" i="2" s="1"/>
  <c r="Z33" i="2"/>
  <c r="Z42" i="2" s="1"/>
  <c r="Z46" i="2" s="1"/>
  <c r="Z47" i="2" s="1"/>
  <c r="K33" i="2"/>
  <c r="K42" i="2" s="1"/>
  <c r="K46" i="2" s="1"/>
  <c r="K47" i="2" s="1"/>
  <c r="H33" i="2"/>
  <c r="H42" i="2" s="1"/>
  <c r="T33" i="2"/>
  <c r="T42" i="2" s="1"/>
  <c r="AI33" i="2"/>
  <c r="AI42" i="2" s="1"/>
  <c r="AF33" i="2"/>
  <c r="AF42" i="2" s="1"/>
  <c r="D47" i="2"/>
  <c r="D46" i="2"/>
  <c r="E45" i="1"/>
  <c r="E46" i="1"/>
  <c r="C41" i="1" l="1"/>
  <c r="C45" i="1" s="1"/>
  <c r="C74" i="5"/>
  <c r="W100" i="7"/>
  <c r="C33" i="2"/>
  <c r="F103" i="7"/>
  <c r="Q100" i="7"/>
  <c r="C84" i="2"/>
  <c r="C85" i="2" s="1"/>
  <c r="C42" i="2"/>
  <c r="AC100" i="7"/>
  <c r="AO101" i="7"/>
  <c r="T46" i="7"/>
  <c r="T47" i="7" s="1"/>
  <c r="C38" i="4"/>
  <c r="H47" i="7"/>
  <c r="D16" i="4"/>
  <c r="G34" i="4" s="1"/>
  <c r="B16" i="4"/>
  <c r="C98" i="2"/>
  <c r="C74" i="7"/>
  <c r="C100" i="7" s="1"/>
  <c r="C33" i="7"/>
  <c r="C42" i="7" s="1"/>
  <c r="C102" i="1"/>
  <c r="C75" i="1"/>
  <c r="C99" i="5"/>
  <c r="C100" i="5" s="1"/>
  <c r="C30" i="5"/>
  <c r="C32" i="5" s="1"/>
  <c r="C41" i="5" s="1"/>
  <c r="C45" i="5" s="1"/>
  <c r="C46" i="5" s="1"/>
  <c r="C75" i="2"/>
  <c r="K85" i="2"/>
  <c r="K100" i="2" s="1"/>
  <c r="K101" i="2" s="1"/>
  <c r="H85" i="2"/>
  <c r="H100" i="2" s="1"/>
  <c r="H101" i="2" s="1"/>
  <c r="AI46" i="2"/>
  <c r="AI47" i="2" s="1"/>
  <c r="H46" i="2"/>
  <c r="T47" i="2"/>
  <c r="AF46" i="2"/>
  <c r="AF47" i="2" s="1"/>
  <c r="C100" i="2" l="1"/>
  <c r="C46" i="2"/>
  <c r="B34" i="4"/>
  <c r="B38" i="4" s="1"/>
  <c r="C46" i="7"/>
  <c r="C47" i="7" s="1"/>
  <c r="H47" i="2"/>
  <c r="C101" i="2"/>
  <c r="E16" i="4" l="1"/>
  <c r="F16" i="4" s="1"/>
  <c r="C89" i="1"/>
  <c r="C104" i="1" s="1"/>
  <c r="F104" i="1" s="1"/>
  <c r="C46" i="1"/>
  <c r="H88" i="1" s="1"/>
  <c r="C4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Svein Arild Bjøkne</author>
    <author>Bjøkne, Svein Arild</author>
    <author>Linda W Aspeslaen</author>
  </authors>
  <commentList>
    <comment ref="G13" authorId="0" shapeId="0" xr:uid="{8F70A80C-367B-43CC-BD62-B607B0EE475D}">
      <text>
        <r>
          <rPr>
            <b/>
            <sz val="8"/>
            <color indexed="81"/>
            <rFont val="Tahoma"/>
            <family val="2"/>
          </rPr>
          <t xml:space="preserve">Otta Cup 100 000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0" shapeId="0" xr:uid="{869413CC-4CCE-48E8-98EF-AE835BD64930}">
      <text>
        <r>
          <rPr>
            <b/>
            <sz val="8"/>
            <color indexed="81"/>
            <rFont val="Tahoma"/>
            <family val="2"/>
          </rPr>
          <t xml:space="preserve">Hovedlaget 
LAN
</t>
        </r>
      </text>
    </comment>
    <comment ref="P13" authorId="1" shapeId="0" xr:uid="{08C7B266-2755-4CCA-A4E2-22CCBA149D57}">
      <text>
        <r>
          <rPr>
            <b/>
            <sz val="8"/>
            <color indexed="81"/>
            <rFont val="Tahoma"/>
            <family val="2"/>
          </rPr>
          <t xml:space="preserve">Otta Cup 
Hovedlaget 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13" authorId="0" shapeId="0" xr:uid="{F57AB343-75EB-4AF6-B1DC-BE764F962389}">
      <text>
        <r>
          <rPr>
            <b/>
            <sz val="8"/>
            <color indexed="81"/>
            <rFont val="Tahoma"/>
            <family val="2"/>
          </rPr>
          <t xml:space="preserve">Hovedlaget 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13" authorId="0" shapeId="0" xr:uid="{203853C4-A144-42C5-9834-D81E413C8D75}">
      <text>
        <r>
          <rPr>
            <b/>
            <sz val="8"/>
            <color indexed="81"/>
            <rFont val="Tahoma"/>
            <family val="2"/>
          </rPr>
          <t xml:space="preserve">Hovedlaget 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13" authorId="0" shapeId="0" xr:uid="{5AF1F673-6155-4695-B8BB-198B6272134F}">
      <text>
        <r>
          <rPr>
            <b/>
            <sz val="9"/>
            <color indexed="81"/>
            <rFont val="Tahoma"/>
            <family val="2"/>
          </rPr>
          <t xml:space="preserve">Hovedlaget
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" authorId="0" shapeId="0" xr:uid="{C9772F02-C6A4-4421-8515-1AB6D6C2B531}">
      <text>
        <r>
          <rPr>
            <b/>
            <sz val="9"/>
            <color indexed="81"/>
            <rFont val="Tahoma"/>
            <family val="2"/>
          </rPr>
          <t>Tilskudd KGB fra fotball kr. 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FB3A5B9E-4179-4EC7-A138-D979BF4FA052}">
      <text>
        <r>
          <rPr>
            <sz val="9"/>
            <color indexed="81"/>
            <rFont val="Tahoma"/>
            <family val="2"/>
          </rPr>
          <t xml:space="preserve">Bidrag LAM midler fra hovedlaget
</t>
        </r>
      </text>
    </comment>
    <comment ref="P30" authorId="0" shapeId="0" xr:uid="{330844B9-DE85-46E9-88A3-F4B845CD90EF}">
      <text>
        <r>
          <rPr>
            <sz val="9"/>
            <color indexed="81"/>
            <rFont val="Tahoma"/>
            <family val="2"/>
          </rPr>
          <t xml:space="preserve">Bidrag kunstgressbane ført hovedlaget
</t>
        </r>
      </text>
    </comment>
    <comment ref="G71" authorId="1" shapeId="0" xr:uid="{CFA7EFFB-3D05-40C3-A4EE-33A832101906}">
      <text>
        <r>
          <rPr>
            <sz val="8"/>
            <color indexed="81"/>
            <rFont val="Tahoma"/>
            <family val="2"/>
          </rPr>
          <t xml:space="preserve">OttaCup 100 000
Fotball
</t>
        </r>
      </text>
    </comment>
    <comment ref="J71" authorId="1" shapeId="0" xr:uid="{87EE14C8-651D-48D2-A484-044EA5482FB0}">
      <text>
        <r>
          <rPr>
            <sz val="8"/>
            <color indexed="81"/>
            <rFont val="Tahoma"/>
            <family val="2"/>
          </rPr>
          <t xml:space="preserve">LAM 0
NGR Hovedlaget 
</t>
        </r>
      </text>
    </comment>
    <comment ref="P71" authorId="1" shapeId="0" xr:uid="{032DBA40-0174-4BC2-BFF9-23881CF14081}">
      <text>
        <r>
          <rPr>
            <sz val="8"/>
            <color indexed="81"/>
            <rFont val="Tahoma"/>
            <family val="2"/>
          </rPr>
          <t xml:space="preserve">Otta Cup
Hovedlaget
</t>
        </r>
      </text>
    </comment>
    <comment ref="S71" authorId="1" shapeId="0" xr:uid="{1FAD350F-F70A-4140-93F1-F8EC651D2F02}">
      <text>
        <r>
          <rPr>
            <sz val="8"/>
            <color indexed="81"/>
            <rFont val="Tahoma"/>
            <family val="2"/>
          </rPr>
          <t xml:space="preserve">Hovedlaget 0
</t>
        </r>
      </text>
    </comment>
    <comment ref="V71" authorId="1" shapeId="0" xr:uid="{A80CF8FB-A7A1-4738-AEE7-F31176841604}">
      <text>
        <r>
          <rPr>
            <sz val="8"/>
            <color indexed="81"/>
            <rFont val="Tahoma"/>
            <family val="2"/>
          </rPr>
          <t xml:space="preserve">Hovedlaget 
</t>
        </r>
      </text>
    </comment>
    <comment ref="AB71" authorId="1" shapeId="0" xr:uid="{7C65223C-21F7-44CD-8C34-4570F42AD0C1}">
      <text>
        <r>
          <rPr>
            <sz val="8"/>
            <color indexed="81"/>
            <rFont val="Tahoma"/>
            <family val="2"/>
          </rPr>
          <t xml:space="preserve">Hovedlaget 
</t>
        </r>
      </text>
    </comment>
    <comment ref="AE71" authorId="0" shapeId="0" xr:uid="{438CA9CC-E943-4A7A-97E7-FEC3D251AC75}">
      <text>
        <r>
          <rPr>
            <sz val="9"/>
            <color indexed="81"/>
            <rFont val="Tahoma"/>
            <family val="2"/>
          </rPr>
          <t xml:space="preserve">Hovedlaget
0
</t>
        </r>
      </text>
    </comment>
    <comment ref="G95" authorId="2" shapeId="0" xr:uid="{42DF7AB9-09E1-4E11-98D9-797402D144BD}">
      <text>
        <r>
          <rPr>
            <sz val="8"/>
            <color indexed="81"/>
            <rFont val="Tahoma"/>
            <family val="2"/>
          </rPr>
          <t xml:space="preserve">Fotball 0
Håndball 42 873
Svømming 0
Allidrett 0
OttaCup 0
</t>
        </r>
      </text>
    </comment>
    <comment ref="P95" authorId="1" shapeId="0" xr:uid="{49FD617D-AABB-4EA8-86D2-CA0A8DD3475E}">
      <text>
        <r>
          <rPr>
            <sz val="8"/>
            <color indexed="81"/>
            <rFont val="Tahoma"/>
            <family val="2"/>
          </rPr>
          <t xml:space="preserve">Hovedlaget
Lønn FFO 0
</t>
        </r>
      </text>
    </comment>
    <comment ref="S95" authorId="1" shapeId="0" xr:uid="{37B3835A-193D-4EC4-8F4F-2225A188D7EA}">
      <text>
        <r>
          <rPr>
            <sz val="8"/>
            <color indexed="81"/>
            <rFont val="Tahoma"/>
            <family val="2"/>
          </rPr>
          <t>Fotball
Hovedlaget 100000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Svein Arild Bjøkne</author>
    <author>Bjøkne, Svein Arild</author>
    <author>Linda W Aspeslaen</author>
  </authors>
  <commentList>
    <comment ref="G13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 xml:space="preserve">Otta Cup 100000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21" authorId="1" shapeId="0" xr:uid="{00000000-0006-0000-0900-000002000000}">
      <text>
        <r>
          <rPr>
            <b/>
            <sz val="8"/>
            <color indexed="81"/>
            <rFont val="Tahoma"/>
            <family val="2"/>
          </rPr>
          <t>Bjøkne, Svein Arild:</t>
        </r>
        <r>
          <rPr>
            <sz val="8"/>
            <color indexed="81"/>
            <rFont val="Tahoma"/>
            <family val="2"/>
          </rPr>
          <t xml:space="preserve">
Gjeldsettergivelse fra hovedlaget 41431</t>
        </r>
      </text>
    </comment>
    <comment ref="G30" authorId="1" shapeId="0" xr:uid="{00000000-0006-0000-0900-000003000000}">
      <text>
        <r>
          <rPr>
            <b/>
            <sz val="8"/>
            <color indexed="81"/>
            <rFont val="Tahoma"/>
            <family val="2"/>
          </rPr>
          <t>Bjøkne, Svein Arild:</t>
        </r>
        <r>
          <rPr>
            <sz val="8"/>
            <color indexed="81"/>
            <rFont val="Tahoma"/>
            <family val="2"/>
          </rPr>
          <t xml:space="preserve">
Gjeldsettergivelse svømmegruppa 41431</t>
        </r>
      </text>
    </comment>
    <comment ref="G71" authorId="0" shapeId="0" xr:uid="{00000000-0006-0000-0900-000004000000}">
      <text>
        <r>
          <rPr>
            <b/>
            <sz val="8"/>
            <color indexed="81"/>
            <rFont val="Tahoma"/>
            <family val="2"/>
          </rPr>
          <t xml:space="preserve">Fotball: 85249
Håndball: 0
MC: 11675
Svømming: 0
Trim 6890
Allidrett: 2220
Sum 106.034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1" authorId="1" shapeId="0" xr:uid="{00000000-0006-0000-0900-000005000000}">
      <text>
        <r>
          <rPr>
            <b/>
            <sz val="8"/>
            <color indexed="81"/>
            <rFont val="Tahoma"/>
            <family val="2"/>
          </rPr>
          <t>Bjøkne, Svein Arild:</t>
        </r>
        <r>
          <rPr>
            <sz val="8"/>
            <color indexed="81"/>
            <rFont val="Tahoma"/>
            <family val="2"/>
          </rPr>
          <t xml:space="preserve">
Hovedlaget 48938,04
Svømming: 8740
Allidrett 3885
Fotball 4603
</t>
        </r>
      </text>
    </comment>
    <comment ref="M71" authorId="1" shapeId="0" xr:uid="{00000000-0006-0000-0900-000006000000}">
      <text>
        <r>
          <rPr>
            <b/>
            <sz val="8"/>
            <color indexed="81"/>
            <rFont val="Tahoma"/>
            <family val="2"/>
          </rPr>
          <t>Bjøkne, Svein Arild:</t>
        </r>
        <r>
          <rPr>
            <sz val="8"/>
            <color indexed="81"/>
            <rFont val="Tahoma"/>
            <family val="2"/>
          </rPr>
          <t xml:space="preserve">
Håndballgruppa 11994</t>
        </r>
      </text>
    </comment>
    <comment ref="P71" authorId="1" shapeId="0" xr:uid="{00000000-0006-0000-0900-000007000000}">
      <text>
        <r>
          <rPr>
            <b/>
            <sz val="8"/>
            <color indexed="81"/>
            <rFont val="Tahoma"/>
            <family val="2"/>
          </rPr>
          <t>Bjøkne, Svein Arild:</t>
        </r>
        <r>
          <rPr>
            <sz val="8"/>
            <color indexed="81"/>
            <rFont val="Tahoma"/>
            <family val="2"/>
          </rPr>
          <t xml:space="preserve">
OttaCup 383696</t>
        </r>
      </text>
    </comment>
    <comment ref="S71" authorId="2" shapeId="0" xr:uid="{00000000-0006-0000-0900-000008000000}">
      <text>
        <r>
          <rPr>
            <b/>
            <sz val="8"/>
            <color indexed="81"/>
            <rFont val="Tahoma"/>
            <family val="2"/>
          </rPr>
          <t>Linda W Aspeslaen:</t>
        </r>
        <r>
          <rPr>
            <sz val="8"/>
            <color indexed="81"/>
            <rFont val="Tahoma"/>
            <family val="2"/>
          </rPr>
          <t xml:space="preserve">
Hovedlag:112114
Fotballl: 0
Håndball: 64987</t>
        </r>
      </text>
    </comment>
    <comment ref="G95" authorId="2" shapeId="0" xr:uid="{00000000-0006-0000-0900-000009000000}">
      <text>
        <r>
          <rPr>
            <b/>
            <sz val="8"/>
            <color indexed="81"/>
            <rFont val="Tahoma"/>
            <family val="2"/>
          </rPr>
          <t>Linda W Aspeslaen:</t>
        </r>
        <r>
          <rPr>
            <sz val="8"/>
            <color indexed="81"/>
            <rFont val="Tahoma"/>
            <family val="2"/>
          </rPr>
          <t xml:space="preserve">
Otta Cup 112114,39
Håndball 48938,04</t>
        </r>
      </text>
    </comment>
    <comment ref="J95" authorId="2" shapeId="0" xr:uid="{00000000-0006-0000-0900-00000A000000}">
      <text>
        <r>
          <rPr>
            <b/>
            <sz val="8"/>
            <color indexed="81"/>
            <rFont val="Tahoma"/>
            <family val="2"/>
          </rPr>
          <t>Linda W Aspeslaen:</t>
        </r>
        <r>
          <rPr>
            <sz val="8"/>
            <color indexed="81"/>
            <rFont val="Tahoma"/>
            <family val="2"/>
          </rPr>
          <t xml:space="preserve">
Otta Cup: 64987
Killi Cup 11994</t>
        </r>
      </text>
    </comment>
    <comment ref="M95" authorId="1" shapeId="0" xr:uid="{00000000-0006-0000-0900-00000B000000}">
      <text>
        <r>
          <rPr>
            <b/>
            <sz val="8"/>
            <color indexed="81"/>
            <rFont val="Tahoma"/>
            <family val="2"/>
          </rPr>
          <t xml:space="preserve">Hovedlaget kr. 11675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95" authorId="0" shapeId="0" xr:uid="{00000000-0006-0000-0900-00000C000000}">
      <text>
        <r>
          <rPr>
            <b/>
            <sz val="8"/>
            <color indexed="81"/>
            <rFont val="Tahoma"/>
            <family val="2"/>
          </rPr>
          <t xml:space="preserve">Hovedlaget: 85249
Håndball: 4603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95" authorId="1" shapeId="0" xr:uid="{00000000-0006-0000-0900-00000D000000}">
      <text>
        <r>
          <rPr>
            <b/>
            <sz val="8"/>
            <color indexed="81"/>
            <rFont val="Tahoma"/>
            <family val="2"/>
          </rPr>
          <t>Bjøkne, Svein Arild:</t>
        </r>
        <r>
          <rPr>
            <sz val="8"/>
            <color indexed="81"/>
            <rFont val="Tahoma"/>
            <family val="2"/>
          </rPr>
          <t xml:space="preserve">
Fotball 383696</t>
        </r>
      </text>
    </comment>
    <comment ref="V95" authorId="1" shapeId="0" xr:uid="{00000000-0006-0000-0900-00000E000000}">
      <text>
        <r>
          <rPr>
            <b/>
            <sz val="8"/>
            <color indexed="81"/>
            <rFont val="Tahoma"/>
            <family val="2"/>
          </rPr>
          <t>Håndball 8740</t>
        </r>
      </text>
    </comment>
    <comment ref="Y95" authorId="1" shapeId="0" xr:uid="{00000000-0006-0000-0900-00000F000000}">
      <text>
        <r>
          <rPr>
            <b/>
            <sz val="8"/>
            <color indexed="81"/>
            <rFont val="Tahoma"/>
            <family val="2"/>
          </rPr>
          <t>Hovedlaget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95" authorId="2" shapeId="0" xr:uid="{00000000-0006-0000-0900-000010000000}">
      <text>
        <r>
          <rPr>
            <b/>
            <sz val="8"/>
            <color indexed="81"/>
            <rFont val="Tahoma"/>
            <family val="2"/>
          </rPr>
          <t>Linda W Aspeslaen:</t>
        </r>
        <r>
          <rPr>
            <sz val="8"/>
            <color indexed="81"/>
            <rFont val="Tahoma"/>
            <family val="2"/>
          </rPr>
          <t xml:space="preserve">
Hovedlag 2220
Håndball 3885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Svein Arild Bjøkne</author>
    <author>Linda W Aspeslaen</author>
    <author>Bjøkne, Svein Arild</author>
  </authors>
  <commentList>
    <comment ref="G13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 xml:space="preserve">Otta Cup 600 000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1" authorId="0" shapeId="0" xr:uid="{00000000-0006-0000-0A00-000002000000}">
      <text>
        <r>
          <rPr>
            <b/>
            <sz val="8"/>
            <color indexed="81"/>
            <rFont val="Tahoma"/>
            <family val="2"/>
          </rPr>
          <t>Fotball: 23664
Håndball: 25121
MC: 11675
Svømming: 27967
Trim 6890
Allidrett: 2220
Sum 97.507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71" authorId="1" shapeId="0" xr:uid="{00000000-0006-0000-0A00-000003000000}">
      <text>
        <r>
          <rPr>
            <b/>
            <sz val="8"/>
            <color indexed="81"/>
            <rFont val="Tahoma"/>
            <family val="2"/>
          </rPr>
          <t>Linda W Aspeslaen:</t>
        </r>
        <r>
          <rPr>
            <sz val="8"/>
            <color indexed="81"/>
            <rFont val="Tahoma"/>
            <family val="2"/>
          </rPr>
          <t xml:space="preserve">
Hovedlag:11681
Fotball: 4804
Håndball: 64987</t>
        </r>
      </text>
    </comment>
    <comment ref="G95" authorId="1" shapeId="0" xr:uid="{00000000-0006-0000-0A00-000004000000}">
      <text>
        <r>
          <rPr>
            <b/>
            <sz val="8"/>
            <color indexed="81"/>
            <rFont val="Tahoma"/>
            <family val="2"/>
          </rPr>
          <t>Linda W Aspeslaen:</t>
        </r>
        <r>
          <rPr>
            <sz val="8"/>
            <color indexed="81"/>
            <rFont val="Tahoma"/>
            <family val="2"/>
          </rPr>
          <t xml:space="preserve">
Otta Cup</t>
        </r>
      </text>
    </comment>
    <comment ref="J95" authorId="1" shapeId="0" xr:uid="{00000000-0006-0000-0A00-000005000000}">
      <text>
        <r>
          <rPr>
            <b/>
            <sz val="8"/>
            <color indexed="81"/>
            <rFont val="Tahoma"/>
            <family val="2"/>
          </rPr>
          <t>Linda W Aspeslaen:</t>
        </r>
        <r>
          <rPr>
            <sz val="8"/>
            <color indexed="81"/>
            <rFont val="Tahoma"/>
            <family val="2"/>
          </rPr>
          <t xml:space="preserve">
Otta Cup: 64987
Hovedlaget:25121</t>
        </r>
      </text>
    </comment>
    <comment ref="M95" authorId="2" shapeId="0" xr:uid="{00000000-0006-0000-0A00-000006000000}">
      <text>
        <r>
          <rPr>
            <b/>
            <sz val="8"/>
            <color indexed="81"/>
            <rFont val="Tahoma"/>
            <family val="2"/>
          </rPr>
          <t xml:space="preserve">Hovedlaget kr. 11675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95" authorId="0" shapeId="0" xr:uid="{00000000-0006-0000-0A00-000007000000}">
      <text>
        <r>
          <rPr>
            <b/>
            <sz val="8"/>
            <color indexed="81"/>
            <rFont val="Tahoma"/>
            <family val="2"/>
          </rPr>
          <t xml:space="preserve">Hovedlaget: 23634
Otta Cup 4804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95" authorId="2" shapeId="0" xr:uid="{00000000-0006-0000-0A00-000008000000}">
      <text>
        <r>
          <rPr>
            <b/>
            <sz val="8"/>
            <color indexed="81"/>
            <rFont val="Tahoma"/>
            <family val="2"/>
          </rPr>
          <t>Hovedlaget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95" authorId="2" shapeId="0" xr:uid="{00000000-0006-0000-0A00-000009000000}">
      <text>
        <r>
          <rPr>
            <b/>
            <sz val="8"/>
            <color indexed="81"/>
            <rFont val="Tahoma"/>
            <family val="2"/>
          </rPr>
          <t>Hovedlaget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95" authorId="1" shapeId="0" xr:uid="{00000000-0006-0000-0A00-00000A000000}">
      <text>
        <r>
          <rPr>
            <b/>
            <sz val="8"/>
            <color indexed="81"/>
            <rFont val="Tahoma"/>
            <family val="2"/>
          </rPr>
          <t>Linda W Aspeslaen:</t>
        </r>
        <r>
          <rPr>
            <sz val="8"/>
            <color indexed="81"/>
            <rFont val="Tahoma"/>
            <family val="2"/>
          </rPr>
          <t xml:space="preserve">
Hovedlag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Svein Arild Bjøkne</author>
    <author>Bjøkne, Svein Arild</author>
  </authors>
  <commentList>
    <comment ref="G13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 xml:space="preserve">Otta Cup 200.000
Fotball 100.000
Volleyball 24.500
Svømming 31.000
Ski 30.000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0" shapeId="0" xr:uid="{00000000-0006-0000-0B00-000002000000}">
      <text>
        <r>
          <rPr>
            <b/>
            <sz val="8"/>
            <color indexed="81"/>
            <rFont val="Tahoma"/>
            <family val="2"/>
          </rPr>
          <t xml:space="preserve">Otta Cup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0" authorId="0" shapeId="0" xr:uid="{00000000-0006-0000-0B00-000003000000}">
      <text>
        <r>
          <rPr>
            <b/>
            <sz val="8"/>
            <color indexed="81"/>
            <rFont val="Tahoma"/>
            <family val="2"/>
          </rPr>
          <t xml:space="preserve">Håndball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2" authorId="0" shapeId="0" xr:uid="{00000000-0006-0000-0B00-000004000000}">
      <text>
        <r>
          <rPr>
            <b/>
            <sz val="8"/>
            <color indexed="81"/>
            <rFont val="Tahoma"/>
            <family val="2"/>
          </rPr>
          <t xml:space="preserve">Håndball 43.640
Mitsub. Cup 3.300
Trim 6.890
Svømming 12.097
Allidrett 2.220
Otta Cup 7.161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2" authorId="0" shapeId="0" xr:uid="{00000000-0006-0000-0B00-000005000000}">
      <text>
        <r>
          <rPr>
            <b/>
            <sz val="8"/>
            <color indexed="81"/>
            <rFont val="Tahoma"/>
            <family val="2"/>
          </rPr>
          <t>Hovedlaget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72" authorId="0" shapeId="0" xr:uid="{00000000-0006-0000-0B00-000006000000}">
      <text>
        <r>
          <rPr>
            <b/>
            <sz val="8"/>
            <color indexed="81"/>
            <rFont val="Tahoma"/>
            <family val="2"/>
          </rPr>
          <t xml:space="preserve">M Cup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6" authorId="0" shapeId="0" xr:uid="{00000000-0006-0000-0B00-000007000000}">
      <text>
        <r>
          <rPr>
            <b/>
            <sz val="8"/>
            <color indexed="81"/>
            <rFont val="Tahoma"/>
            <family val="2"/>
          </rPr>
          <t xml:space="preserve">Fotball kr. 114.298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96" authorId="1" shapeId="0" xr:uid="{00000000-0006-0000-0B00-000008000000}">
      <text>
        <r>
          <rPr>
            <b/>
            <sz val="8"/>
            <color indexed="81"/>
            <rFont val="Tahoma"/>
            <family val="2"/>
          </rPr>
          <t xml:space="preserve">Hovedlaget kr. 1000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96" authorId="0" shapeId="0" xr:uid="{00000000-0006-0000-0B00-000009000000}">
      <text>
        <r>
          <rPr>
            <b/>
            <sz val="8"/>
            <color indexed="81"/>
            <rFont val="Tahoma"/>
            <family val="2"/>
          </rPr>
          <t xml:space="preserve">Hovedlaget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96" authorId="1" shapeId="0" xr:uid="{00000000-0006-0000-0B00-00000A000000}">
      <text>
        <r>
          <rPr>
            <b/>
            <sz val="8"/>
            <color indexed="81"/>
            <rFont val="Tahoma"/>
            <family val="2"/>
          </rPr>
          <t>Håndball 5.507
Hovedlaget 3.300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96" authorId="1" shapeId="0" xr:uid="{00000000-0006-0000-0B00-00000B000000}">
      <text>
        <r>
          <rPr>
            <b/>
            <sz val="8"/>
            <color indexed="81"/>
            <rFont val="Tahoma"/>
            <family val="2"/>
          </rPr>
          <t>Hovedlaget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96" authorId="1" shapeId="0" xr:uid="{00000000-0006-0000-0B00-00000C000000}">
      <text>
        <r>
          <rPr>
            <b/>
            <sz val="8"/>
            <color indexed="81"/>
            <rFont val="Tahoma"/>
            <family val="2"/>
          </rPr>
          <t>Hovedlaget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K96" authorId="1" shapeId="0" xr:uid="{00000000-0006-0000-0B00-00000D000000}">
      <text>
        <r>
          <rPr>
            <b/>
            <sz val="8"/>
            <color indexed="81"/>
            <rFont val="Tahoma"/>
            <family val="2"/>
          </rPr>
          <t>Hovedlaget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Svein Arild Bjøkne</author>
  </authors>
  <commentList>
    <comment ref="G13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 xml:space="preserve">Otta Cup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0" shapeId="0" xr:uid="{00000000-0006-0000-0C00-000002000000}">
      <text>
        <r>
          <rPr>
            <b/>
            <sz val="8"/>
            <color indexed="81"/>
            <rFont val="Tahoma"/>
            <family val="2"/>
          </rPr>
          <t xml:space="preserve">Otta Cup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3" authorId="0" shapeId="0" xr:uid="{00000000-0006-0000-0C00-000003000000}">
      <text>
        <r>
          <rPr>
            <b/>
            <sz val="8"/>
            <color indexed="81"/>
            <rFont val="Tahoma"/>
            <family val="2"/>
          </rPr>
          <t xml:space="preserve">Hovedlaget kr. 45000
Mitsubishi Cup kr. 100.000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0" authorId="0" shapeId="0" xr:uid="{00000000-0006-0000-0C00-000004000000}">
      <text>
        <r>
          <rPr>
            <b/>
            <sz val="8"/>
            <color indexed="81"/>
            <rFont val="Tahoma"/>
            <family val="2"/>
          </rPr>
          <t xml:space="preserve">Håndball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1" authorId="0" shapeId="0" xr:uid="{00000000-0006-0000-0C00-000005000000}">
      <text>
        <r>
          <rPr>
            <b/>
            <sz val="8"/>
            <color indexed="81"/>
            <rFont val="Tahoma"/>
            <family val="2"/>
          </rPr>
          <t xml:space="preserve">Fotball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2" authorId="0" shapeId="0" xr:uid="{00000000-0006-0000-0C00-000006000000}">
      <text>
        <r>
          <rPr>
            <b/>
            <sz val="8"/>
            <color indexed="81"/>
            <rFont val="Tahoma"/>
            <family val="2"/>
          </rPr>
          <t xml:space="preserve">Håndball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2" authorId="0" shapeId="0" xr:uid="{00000000-0006-0000-0C00-000007000000}">
      <text>
        <r>
          <rPr>
            <b/>
            <sz val="8"/>
            <color indexed="81"/>
            <rFont val="Tahoma"/>
            <family val="2"/>
          </rPr>
          <t>Hovedlaget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72" authorId="0" shapeId="0" xr:uid="{00000000-0006-0000-0C00-000008000000}">
      <text>
        <r>
          <rPr>
            <b/>
            <sz val="8"/>
            <color indexed="81"/>
            <rFont val="Tahoma"/>
            <family val="2"/>
          </rPr>
          <t xml:space="preserve">Hovedlaget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6" authorId="0" shapeId="0" xr:uid="{00000000-0006-0000-0C00-000009000000}">
      <text>
        <r>
          <rPr>
            <b/>
            <sz val="8"/>
            <color indexed="81"/>
            <rFont val="Tahoma"/>
            <family val="2"/>
          </rPr>
          <t>Håndball kr. 45000
Fotball kr. 29167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96" authorId="0" shapeId="0" xr:uid="{00000000-0006-0000-0C00-00000A000000}">
      <text>
        <r>
          <rPr>
            <b/>
            <sz val="8"/>
            <color indexed="81"/>
            <rFont val="Tahoma"/>
            <family val="2"/>
          </rPr>
          <t>Hovedlaget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96" authorId="0" shapeId="0" xr:uid="{00000000-0006-0000-0C00-00000B000000}">
      <text>
        <r>
          <rPr>
            <b/>
            <sz val="8"/>
            <color indexed="81"/>
            <rFont val="Tahoma"/>
            <family val="2"/>
          </rPr>
          <t xml:space="preserve">Hovedlaget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Svein Arild Bjøkne</author>
  </authors>
  <commentList>
    <comment ref="G13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 xml:space="preserve">Fotball
</t>
        </r>
      </text>
    </comment>
    <comment ref="J13" authorId="0" shapeId="0" xr:uid="{00000000-0006-0000-0D00-000002000000}">
      <text>
        <r>
          <rPr>
            <sz val="8"/>
            <color indexed="81"/>
            <rFont val="Tahoma"/>
            <family val="2"/>
          </rPr>
          <t xml:space="preserve">Hovedlaget 40000
Otta Cup 363000
</t>
        </r>
      </text>
    </comment>
    <comment ref="P13" authorId="0" shapeId="0" xr:uid="{00000000-0006-0000-0D00-000003000000}">
      <text>
        <r>
          <rPr>
            <b/>
            <sz val="8"/>
            <color indexed="81"/>
            <rFont val="Tahoma"/>
            <family val="2"/>
          </rPr>
          <t>Mitsubishi Cup: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13" authorId="0" shapeId="0" xr:uid="{00000000-0006-0000-0D00-000004000000}">
      <text>
        <r>
          <rPr>
            <b/>
            <sz val="8"/>
            <color indexed="81"/>
            <rFont val="Tahoma"/>
            <family val="2"/>
          </rPr>
          <t>Fra hovedlaget: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13" authorId="0" shapeId="0" xr:uid="{00000000-0006-0000-0D00-000005000000}">
      <text>
        <r>
          <rPr>
            <b/>
            <sz val="8"/>
            <color indexed="81"/>
            <rFont val="Tahoma"/>
            <family val="2"/>
          </rPr>
          <t>Hovedlaget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13" authorId="0" shapeId="0" xr:uid="{00000000-0006-0000-0D00-000006000000}">
      <text>
        <r>
          <rPr>
            <b/>
            <sz val="8"/>
            <color indexed="81"/>
            <rFont val="Tahoma"/>
            <family val="2"/>
          </rPr>
          <t>Hovedlaget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0" authorId="0" shapeId="0" xr:uid="{00000000-0006-0000-0D00-000007000000}">
      <text>
        <r>
          <rPr>
            <b/>
            <sz val="8"/>
            <color indexed="81"/>
            <rFont val="Tahoma"/>
            <family val="2"/>
          </rPr>
          <t xml:space="preserve">Hovedlaget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9" authorId="0" shapeId="0" xr:uid="{00000000-0006-0000-0D00-000008000000}">
      <text>
        <r>
          <rPr>
            <b/>
            <sz val="8"/>
            <color indexed="81"/>
            <rFont val="Tahoma"/>
            <family val="2"/>
          </rPr>
          <t xml:space="preserve">Fotball 40000
Håndball 90000
Idrettskolen 10000
Innebandy 10000
Tennis 8000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9" authorId="0" shapeId="0" xr:uid="{00000000-0006-0000-0D00-000009000000}">
      <text>
        <r>
          <rPr>
            <b/>
            <sz val="8"/>
            <color indexed="81"/>
            <rFont val="Tahoma"/>
            <family val="2"/>
          </rPr>
          <t>Hovedlaget: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71" authorId="0" shapeId="0" xr:uid="{00000000-0006-0000-0D00-00000A000000}">
      <text>
        <r>
          <rPr>
            <b/>
            <sz val="8"/>
            <color indexed="81"/>
            <rFont val="Tahoma"/>
            <family val="2"/>
          </rPr>
          <t>Mishubishi Cup 70000: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Svein Arild Bjøkne</author>
    <author>Bjøkne, Svein Arild</author>
    <author>Linda W Aspeslaen</author>
  </authors>
  <commentList>
    <comment ref="G13" authorId="0" shapeId="0" xr:uid="{836AC1C3-BDDF-4E98-ADF0-3B25E1C75861}">
      <text>
        <r>
          <rPr>
            <b/>
            <sz val="8"/>
            <color indexed="81"/>
            <rFont val="Tahoma"/>
            <family val="2"/>
          </rPr>
          <t xml:space="preserve">Otta Cup 100 000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0" shapeId="0" xr:uid="{C9EA41A1-19B4-4C89-B879-8040224DB056}">
      <text>
        <r>
          <rPr>
            <b/>
            <sz val="8"/>
            <color indexed="81"/>
            <rFont val="Tahoma"/>
            <family val="2"/>
          </rPr>
          <t xml:space="preserve">Hovedlaget 
LAN 45954
</t>
        </r>
      </text>
    </comment>
    <comment ref="P13" authorId="1" shapeId="0" xr:uid="{FD1601A4-6F3F-4AFB-89AA-B172D158F450}">
      <text>
        <r>
          <rPr>
            <b/>
            <sz val="8"/>
            <color indexed="81"/>
            <rFont val="Tahoma"/>
            <family val="2"/>
          </rPr>
          <t xml:space="preserve">Otta Cup 192312
Hovedlaget 72927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13" authorId="0" shapeId="0" xr:uid="{0EC87027-B4FF-4597-8CF6-1EE70BE38DC3}">
      <text>
        <r>
          <rPr>
            <b/>
            <sz val="8"/>
            <color indexed="81"/>
            <rFont val="Tahoma"/>
            <family val="2"/>
          </rPr>
          <t xml:space="preserve">Hovedlaget 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13" authorId="0" shapeId="0" xr:uid="{C94A7F21-6440-45A7-9B4B-45A6A5AF84A9}">
      <text>
        <r>
          <rPr>
            <b/>
            <sz val="8"/>
            <color indexed="81"/>
            <rFont val="Tahoma"/>
            <family val="2"/>
          </rPr>
          <t xml:space="preserve">Hovedlaget 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13" authorId="0" shapeId="0" xr:uid="{576BC8F6-319D-47A9-84AB-420EB7DAA6E7}">
      <text>
        <r>
          <rPr>
            <b/>
            <sz val="9"/>
            <color indexed="81"/>
            <rFont val="Tahoma"/>
            <family val="2"/>
          </rPr>
          <t xml:space="preserve">Hovedlaget
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" authorId="0" shapeId="0" xr:uid="{18AEA165-21F5-443C-BF61-963F90FE7872}">
      <text>
        <r>
          <rPr>
            <b/>
            <sz val="9"/>
            <color indexed="81"/>
            <rFont val="Tahoma"/>
            <family val="2"/>
          </rPr>
          <t>Tilskudd KGB fra fotball kr. 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D0B328-EA36-46B9-9B7C-BC71A337979E}">
      <text>
        <r>
          <rPr>
            <sz val="9"/>
            <color indexed="81"/>
            <rFont val="Tahoma"/>
            <family val="2"/>
          </rPr>
          <t xml:space="preserve">Bidrag LAM midler fra hovedlaget
</t>
        </r>
      </text>
    </comment>
    <comment ref="P30" authorId="0" shapeId="0" xr:uid="{13BC637C-B61C-4EA4-9D63-5D06E2295446}">
      <text>
        <r>
          <rPr>
            <sz val="9"/>
            <color indexed="81"/>
            <rFont val="Tahoma"/>
            <family val="2"/>
          </rPr>
          <t xml:space="preserve">Bidrag kunstgressbane ført hovedlaget
</t>
        </r>
      </text>
    </comment>
    <comment ref="G71" authorId="1" shapeId="0" xr:uid="{B3677DBB-4525-49D6-A4F1-9C99A119774C}">
      <text>
        <r>
          <rPr>
            <sz val="8"/>
            <color indexed="81"/>
            <rFont val="Tahoma"/>
            <family val="2"/>
          </rPr>
          <t xml:space="preserve">OttaCup 100 000
Fotball Lønn FFO 0
</t>
        </r>
      </text>
    </comment>
    <comment ref="J71" authorId="1" shapeId="0" xr:uid="{970ED5E6-DCA3-4C14-A0CF-0942A85C5F34}">
      <text>
        <r>
          <rPr>
            <sz val="8"/>
            <color indexed="81"/>
            <rFont val="Tahoma"/>
            <family val="2"/>
          </rPr>
          <t xml:space="preserve">LAM 0
NGR Hovedlaget 42873
</t>
        </r>
      </text>
    </comment>
    <comment ref="P71" authorId="1" shapeId="0" xr:uid="{F27242A9-7454-41E8-94ED-46155D2C9E7C}">
      <text>
        <r>
          <rPr>
            <sz val="8"/>
            <color indexed="81"/>
            <rFont val="Tahoma"/>
            <family val="2"/>
          </rPr>
          <t xml:space="preserve">Otta Cup 192312
Hovedlaget 0
</t>
        </r>
      </text>
    </comment>
    <comment ref="S71" authorId="1" shapeId="0" xr:uid="{3E509894-75F1-4520-8CED-42B71296A3DC}">
      <text>
        <r>
          <rPr>
            <sz val="8"/>
            <color indexed="81"/>
            <rFont val="Tahoma"/>
            <family val="2"/>
          </rPr>
          <t xml:space="preserve">Hovedlaget 0
</t>
        </r>
      </text>
    </comment>
    <comment ref="V71" authorId="1" shapeId="0" xr:uid="{D1703257-139F-48E6-915C-D8A6F3DAC5C3}">
      <text>
        <r>
          <rPr>
            <sz val="8"/>
            <color indexed="81"/>
            <rFont val="Tahoma"/>
            <family val="2"/>
          </rPr>
          <t xml:space="preserve">Hovedlaget 
</t>
        </r>
      </text>
    </comment>
    <comment ref="AB71" authorId="1" shapeId="0" xr:uid="{E4529CF1-5382-416A-B8A2-71C7B8438603}">
      <text>
        <r>
          <rPr>
            <sz val="8"/>
            <color indexed="81"/>
            <rFont val="Tahoma"/>
            <family val="2"/>
          </rPr>
          <t xml:space="preserve">Hovedlaget 
</t>
        </r>
      </text>
    </comment>
    <comment ref="AE71" authorId="0" shapeId="0" xr:uid="{B76D8D97-2A17-4EB9-AA8C-DFD07E5F21C3}">
      <text>
        <r>
          <rPr>
            <sz val="9"/>
            <color indexed="81"/>
            <rFont val="Tahoma"/>
            <family val="2"/>
          </rPr>
          <t xml:space="preserve">Hovedlaget
0
</t>
        </r>
      </text>
    </comment>
    <comment ref="G95" authorId="2" shapeId="0" xr:uid="{46B99C41-1810-41B1-B01A-B7661AF42CA0}">
      <text>
        <r>
          <rPr>
            <sz val="8"/>
            <color indexed="81"/>
            <rFont val="Tahoma"/>
            <family val="2"/>
          </rPr>
          <t xml:space="preserve">Fotball 0
Håndball 42 873
Svømming 0
Allidrett 0
OttaCup 0
</t>
        </r>
      </text>
    </comment>
    <comment ref="P95" authorId="1" shapeId="0" xr:uid="{ED8938C8-48CA-475C-BA0A-41C112D0A241}">
      <text>
        <r>
          <rPr>
            <sz val="8"/>
            <color indexed="81"/>
            <rFont val="Tahoma"/>
            <family val="2"/>
          </rPr>
          <t xml:space="preserve">Hovedlaget
Lønn FFO 0
</t>
        </r>
      </text>
    </comment>
    <comment ref="S95" authorId="1" shapeId="0" xr:uid="{212B664C-5724-4F0C-8A8E-9BB11E567761}">
      <text>
        <r>
          <rPr>
            <sz val="8"/>
            <color indexed="81"/>
            <rFont val="Tahoma"/>
            <family val="2"/>
          </rPr>
          <t>Fotball 192312
Hovedlaget 100000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Svein Arild Bjøkne</author>
    <author>Bjøkne, Svein Arild</author>
    <author>Linda W Aspeslaen</author>
  </authors>
  <commentList>
    <comment ref="G1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 xml:space="preserve">Otta Cup 100 000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 xml:space="preserve">Hovedlaget 
LAN
</t>
        </r>
      </text>
    </comment>
    <comment ref="P13" authorId="1" shapeId="0" xr:uid="{00000000-0006-0000-0300-000003000000}">
      <text>
        <r>
          <rPr>
            <b/>
            <sz val="8"/>
            <color indexed="81"/>
            <rFont val="Tahoma"/>
            <family val="2"/>
          </rPr>
          <t>Otta Cup 134025
Hovedlaget 68335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13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 xml:space="preserve">Hovedlaget 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13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 xml:space="preserve">Hovedlaget 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13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 xml:space="preserve">Hovedlaget
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Tilskudd KGB fra fotball kr. 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000000-0006-0000-0300-000008000000}">
      <text>
        <r>
          <rPr>
            <sz val="9"/>
            <color indexed="81"/>
            <rFont val="Tahoma"/>
            <family val="2"/>
          </rPr>
          <t xml:space="preserve">Bidrag LAM midler fra hovedlaget
</t>
        </r>
      </text>
    </comment>
    <comment ref="P30" authorId="0" shapeId="0" xr:uid="{00000000-0006-0000-0300-000009000000}">
      <text>
        <r>
          <rPr>
            <sz val="9"/>
            <color indexed="81"/>
            <rFont val="Tahoma"/>
            <family val="2"/>
          </rPr>
          <t xml:space="preserve">Bidrag kunstgressbane ført hovedlaget
</t>
        </r>
      </text>
    </comment>
    <comment ref="G71" authorId="1" shapeId="0" xr:uid="{00000000-0006-0000-0300-00000A000000}">
      <text>
        <r>
          <rPr>
            <sz val="8"/>
            <color indexed="81"/>
            <rFont val="Tahoma"/>
            <family val="2"/>
          </rPr>
          <t xml:space="preserve">OttaCup 0
Fotball Lønn FFO 0
</t>
        </r>
      </text>
    </comment>
    <comment ref="J71" authorId="1" shapeId="0" xr:uid="{00000000-0006-0000-0300-00000B000000}">
      <text>
        <r>
          <rPr>
            <sz val="8"/>
            <color indexed="81"/>
            <rFont val="Tahoma"/>
            <family val="2"/>
          </rPr>
          <t xml:space="preserve">LAM 43845
NGR Hovedlaget 38103
</t>
        </r>
      </text>
    </comment>
    <comment ref="P71" authorId="1" shapeId="0" xr:uid="{00000000-0006-0000-0300-00000C000000}">
      <text>
        <r>
          <rPr>
            <sz val="8"/>
            <color indexed="81"/>
            <rFont val="Tahoma"/>
            <family val="2"/>
          </rPr>
          <t xml:space="preserve">Otta Cup 0
Hovedlaget 68335
</t>
        </r>
      </text>
    </comment>
    <comment ref="S71" authorId="1" shapeId="0" xr:uid="{00000000-0006-0000-0300-00000D000000}">
      <text>
        <r>
          <rPr>
            <sz val="8"/>
            <color indexed="81"/>
            <rFont val="Tahoma"/>
            <family val="2"/>
          </rPr>
          <t xml:space="preserve">Hovedlaget 402776
</t>
        </r>
      </text>
    </comment>
    <comment ref="V71" authorId="1" shapeId="0" xr:uid="{00000000-0006-0000-0300-00000E000000}">
      <text>
        <r>
          <rPr>
            <sz val="8"/>
            <color indexed="81"/>
            <rFont val="Tahoma"/>
            <family val="2"/>
          </rPr>
          <t xml:space="preserve">Hovedlaget 
</t>
        </r>
      </text>
    </comment>
    <comment ref="AB71" authorId="1" shapeId="0" xr:uid="{00000000-0006-0000-0300-00000F000000}">
      <text>
        <r>
          <rPr>
            <sz val="8"/>
            <color indexed="81"/>
            <rFont val="Tahoma"/>
            <family val="2"/>
          </rPr>
          <t xml:space="preserve">Hovedlaget 
</t>
        </r>
      </text>
    </comment>
    <comment ref="AE71" authorId="0" shapeId="0" xr:uid="{00000000-0006-0000-0300-000010000000}">
      <text>
        <r>
          <rPr>
            <sz val="9"/>
            <color indexed="81"/>
            <rFont val="Tahoma"/>
            <family val="2"/>
          </rPr>
          <t xml:space="preserve">Hovedlaget
0
</t>
        </r>
      </text>
    </comment>
    <comment ref="G95" authorId="2" shapeId="0" xr:uid="{00000000-0006-0000-0300-000011000000}">
      <text>
        <r>
          <rPr>
            <sz val="8"/>
            <color indexed="81"/>
            <rFont val="Tahoma"/>
            <family val="2"/>
          </rPr>
          <t xml:space="preserve">Fotball 68335
Håndball 81948
Svømming 12460
Allidrett 0
OttaCup 402776
</t>
        </r>
      </text>
    </comment>
    <comment ref="P95" authorId="1" shapeId="0" xr:uid="{00000000-0006-0000-0300-000012000000}">
      <text>
        <r>
          <rPr>
            <sz val="8"/>
            <color indexed="81"/>
            <rFont val="Tahoma"/>
            <family val="2"/>
          </rPr>
          <t xml:space="preserve">Hovedlaget
Lønn FFO 0
</t>
        </r>
      </text>
    </comment>
    <comment ref="S95" authorId="1" shapeId="0" xr:uid="{00000000-0006-0000-0300-000013000000}">
      <text>
        <r>
          <rPr>
            <sz val="8"/>
            <color indexed="81"/>
            <rFont val="Tahoma"/>
            <family val="2"/>
          </rPr>
          <t>Fotball 0
Hovedlaget 0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Svein Arild Bjøkne</author>
    <author>Bjøkne, Svein Arild</author>
    <author>Linda W Aspeslaen</author>
  </authors>
  <commentList>
    <comment ref="G13" authorId="0" shapeId="0" xr:uid="{01855C32-33BF-424B-A2DA-0101A9BCF57F}">
      <text>
        <r>
          <rPr>
            <b/>
            <sz val="8"/>
            <color indexed="81"/>
            <rFont val="Tahoma"/>
            <family val="2"/>
          </rPr>
          <t xml:space="preserve">Otta Cup 100 000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0" shapeId="0" xr:uid="{B30898F9-F8FB-43A5-A02B-5944412A6486}">
      <text>
        <r>
          <rPr>
            <b/>
            <sz val="8"/>
            <color indexed="81"/>
            <rFont val="Tahoma"/>
            <family val="2"/>
          </rPr>
          <t xml:space="preserve">Hovedlaget 
45046
</t>
        </r>
      </text>
    </comment>
    <comment ref="P13" authorId="1" shapeId="0" xr:uid="{BB596882-A506-4C3D-896F-23092C011913}">
      <text>
        <r>
          <rPr>
            <b/>
            <sz val="8"/>
            <color indexed="81"/>
            <rFont val="Tahoma"/>
            <family val="2"/>
          </rPr>
          <t>Otta Cup 217.000
Hovedlaget 74152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13" authorId="0" shapeId="0" xr:uid="{D5FCFAE7-5B7A-40BA-A4A5-B988C34FB200}">
      <text>
        <r>
          <rPr>
            <b/>
            <sz val="8"/>
            <color indexed="81"/>
            <rFont val="Tahoma"/>
            <family val="2"/>
          </rPr>
          <t xml:space="preserve">Hovedlaget 9568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13" authorId="0" shapeId="0" xr:uid="{268AA72E-DEDA-437A-99DD-2191521C5FAC}">
      <text>
        <r>
          <rPr>
            <b/>
            <sz val="8"/>
            <color indexed="81"/>
            <rFont val="Tahoma"/>
            <family val="2"/>
          </rPr>
          <t xml:space="preserve">Hovedlaget 15878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13" authorId="0" shapeId="0" xr:uid="{2E6A2669-BA00-44C7-B40A-EDA3CD3AF4FA}">
      <text>
        <r>
          <rPr>
            <b/>
            <sz val="9"/>
            <color indexed="81"/>
            <rFont val="Tahoma"/>
            <family val="2"/>
          </rPr>
          <t xml:space="preserve">Hovedlaget
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" authorId="0" shapeId="0" xr:uid="{B0C1CAFA-846C-494E-950E-440CDCB08F5D}">
      <text>
        <r>
          <rPr>
            <b/>
            <sz val="9"/>
            <color indexed="81"/>
            <rFont val="Tahoma"/>
            <family val="2"/>
          </rPr>
          <t>Tilskudd KGB fra fotball kr. 137 000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6570EE83-395D-4DD8-B07D-7B4BAA1F3BAA}">
      <text>
        <r>
          <rPr>
            <sz val="9"/>
            <color indexed="81"/>
            <rFont val="Tahoma"/>
            <family val="2"/>
          </rPr>
          <t xml:space="preserve">Bidrag LAM midler fra hovedlaget
</t>
        </r>
      </text>
    </comment>
    <comment ref="P30" authorId="0" shapeId="0" xr:uid="{25853CE6-DFF7-4898-888D-D39518476687}">
      <text>
        <r>
          <rPr>
            <sz val="9"/>
            <color indexed="81"/>
            <rFont val="Tahoma"/>
            <family val="2"/>
          </rPr>
          <t xml:space="preserve">Bidrag kunstgressbane ført hovedlaget
</t>
        </r>
      </text>
    </comment>
    <comment ref="G71" authorId="1" shapeId="0" xr:uid="{62FFEB1F-FA1A-4465-8B06-643152BFCB65}">
      <text>
        <r>
          <rPr>
            <sz val="8"/>
            <color indexed="81"/>
            <rFont val="Tahoma"/>
            <family val="2"/>
          </rPr>
          <t xml:space="preserve">OttaCup 100000
Fotball Lønn FFO 33060
</t>
        </r>
      </text>
    </comment>
    <comment ref="J71" authorId="1" shapeId="0" xr:uid="{8A1F466B-73B3-4DF3-BD98-0B31DA9E446C}">
      <text>
        <r>
          <rPr>
            <sz val="8"/>
            <color indexed="81"/>
            <rFont val="Tahoma"/>
            <family val="2"/>
          </rPr>
          <t xml:space="preserve">LAM 46046
</t>
        </r>
      </text>
    </comment>
    <comment ref="P71" authorId="1" shapeId="0" xr:uid="{C3F6022C-6E8C-42DC-8071-9DFD9F711446}">
      <text>
        <r>
          <rPr>
            <sz val="8"/>
            <color indexed="81"/>
            <rFont val="Tahoma"/>
            <family val="2"/>
          </rPr>
          <t xml:space="preserve">OttaCup 217.000
Hovedlaget 74152
</t>
        </r>
      </text>
    </comment>
    <comment ref="S71" authorId="1" shapeId="0" xr:uid="{52CA67C9-63C8-4CC4-A1F4-6C119C800835}">
      <text>
        <r>
          <rPr>
            <sz val="8"/>
            <color indexed="81"/>
            <rFont val="Tahoma"/>
            <family val="2"/>
          </rPr>
          <t xml:space="preserve">Hovedlaget 788162
</t>
        </r>
      </text>
    </comment>
    <comment ref="V71" authorId="1" shapeId="0" xr:uid="{5C855F44-9E14-4E8B-886B-10148EC7B569}">
      <text>
        <r>
          <rPr>
            <sz val="8"/>
            <color indexed="81"/>
            <rFont val="Tahoma"/>
            <family val="2"/>
          </rPr>
          <t xml:space="preserve">Hovedlaget 9568
</t>
        </r>
      </text>
    </comment>
    <comment ref="AB71" authorId="1" shapeId="0" xr:uid="{730E5812-5DE6-458C-9A9A-106D903C9FF1}">
      <text>
        <r>
          <rPr>
            <sz val="8"/>
            <color indexed="81"/>
            <rFont val="Tahoma"/>
            <family val="2"/>
          </rPr>
          <t xml:space="preserve">Hovedlaget 15878
</t>
        </r>
      </text>
    </comment>
    <comment ref="AE71" authorId="0" shapeId="0" xr:uid="{7B52BF05-820F-43C2-A3C6-B4D68B653C73}">
      <text>
        <r>
          <rPr>
            <sz val="9"/>
            <color indexed="81"/>
            <rFont val="Tahoma"/>
            <family val="2"/>
          </rPr>
          <t xml:space="preserve">Hovedlaget
0
</t>
        </r>
      </text>
    </comment>
    <comment ref="G95" authorId="2" shapeId="0" xr:uid="{9A39190D-8DC4-444A-9E16-77F19A80FD27}">
      <text>
        <r>
          <rPr>
            <sz val="8"/>
            <color indexed="81"/>
            <rFont val="Tahoma"/>
            <family val="2"/>
          </rPr>
          <t xml:space="preserve">Fotball 74152
Håndball 46046
Svømming 9568
Allidrett 15787
OttaCup 788162
</t>
        </r>
      </text>
    </comment>
    <comment ref="P95" authorId="1" shapeId="0" xr:uid="{418917D0-3246-4FA8-9344-35908EF95552}">
      <text>
        <r>
          <rPr>
            <sz val="8"/>
            <color indexed="81"/>
            <rFont val="Tahoma"/>
            <family val="2"/>
          </rPr>
          <t xml:space="preserve">Hovedlaget
Lønn FFO 33060
</t>
        </r>
      </text>
    </comment>
    <comment ref="S95" authorId="1" shapeId="0" xr:uid="{F13CE509-B4CB-4530-9AED-BB04367BC536}">
      <text>
        <r>
          <rPr>
            <sz val="8"/>
            <color indexed="81"/>
            <rFont val="Tahoma"/>
            <family val="2"/>
          </rPr>
          <t>Fotball 217000
Hovedlaget 100.000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Svein Arild Bjøkne</author>
    <author>Bjøkne, Svein Arild</author>
    <author>Linda W Aspeslaen</author>
  </authors>
  <commentList>
    <comment ref="G13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 xml:space="preserve">Otta Cup 100 000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 xml:space="preserve">Hovedlaget 
30 395
</t>
        </r>
      </text>
    </comment>
    <comment ref="P13" authorId="1" shapeId="0" xr:uid="{00000000-0006-0000-0400-000003000000}">
      <text>
        <r>
          <rPr>
            <b/>
            <sz val="8"/>
            <color indexed="81"/>
            <rFont val="Tahoma"/>
            <family val="2"/>
          </rPr>
          <t>Otta Cup 331.000
Hovedlaget 49970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13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 xml:space="preserve">Hovedlaget 11495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13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 xml:space="preserve">Hovedlaget 8570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13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 xml:space="preserve">Hovedlaget
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Tilskudd KGB fra fotball kr. 100 000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000000-0006-0000-0400-000008000000}">
      <text>
        <r>
          <rPr>
            <sz val="9"/>
            <color indexed="81"/>
            <rFont val="Tahoma"/>
            <family val="2"/>
          </rPr>
          <t xml:space="preserve">Bidrag LAM midler fra hovedlaget
</t>
        </r>
      </text>
    </comment>
    <comment ref="P30" authorId="0" shapeId="0" xr:uid="{00000000-0006-0000-0400-000009000000}">
      <text>
        <r>
          <rPr>
            <sz val="9"/>
            <color indexed="81"/>
            <rFont val="Tahoma"/>
            <family val="2"/>
          </rPr>
          <t xml:space="preserve">Bidrag kunstgressbane ført hovedlaget
</t>
        </r>
      </text>
    </comment>
    <comment ref="G71" authorId="1" shapeId="0" xr:uid="{00000000-0006-0000-0400-00000A000000}">
      <text>
        <r>
          <rPr>
            <sz val="8"/>
            <color indexed="81"/>
            <rFont val="Tahoma"/>
            <family val="2"/>
          </rPr>
          <t xml:space="preserve">OttaCup 100000
Fotball Lønn FFO 51236
</t>
        </r>
      </text>
    </comment>
    <comment ref="J71" authorId="1" shapeId="0" xr:uid="{00000000-0006-0000-0400-00000B000000}">
      <text>
        <r>
          <rPr>
            <sz val="8"/>
            <color indexed="81"/>
            <rFont val="Tahoma"/>
            <family val="2"/>
          </rPr>
          <t xml:space="preserve">LAM 30395
Akt.avg. 86600
Kalendere 64350
</t>
        </r>
      </text>
    </comment>
    <comment ref="P71" authorId="1" shapeId="0" xr:uid="{00000000-0006-0000-0400-00000C000000}">
      <text>
        <r>
          <rPr>
            <sz val="8"/>
            <color indexed="81"/>
            <rFont val="Tahoma"/>
            <family val="2"/>
          </rPr>
          <t xml:space="preserve">OttaCup 331.000
Hovedlaget 49970
Hovedlaget 28017
</t>
        </r>
      </text>
    </comment>
    <comment ref="V71" authorId="1" shapeId="0" xr:uid="{00000000-0006-0000-0400-00000D000000}">
      <text>
        <r>
          <rPr>
            <sz val="8"/>
            <color indexed="81"/>
            <rFont val="Tahoma"/>
            <family val="2"/>
          </rPr>
          <t xml:space="preserve">Hovedlaget 11495
</t>
        </r>
      </text>
    </comment>
    <comment ref="AB71" authorId="1" shapeId="0" xr:uid="{00000000-0006-0000-0400-00000E000000}">
      <text>
        <r>
          <rPr>
            <sz val="8"/>
            <color indexed="81"/>
            <rFont val="Tahoma"/>
            <family val="2"/>
          </rPr>
          <t xml:space="preserve">Hovedlaget 8570+2200
</t>
        </r>
      </text>
    </comment>
    <comment ref="AE71" authorId="0" shapeId="0" xr:uid="{00000000-0006-0000-0400-00000F000000}">
      <text>
        <r>
          <rPr>
            <sz val="9"/>
            <color indexed="81"/>
            <rFont val="Tahoma"/>
            <family val="2"/>
          </rPr>
          <t xml:space="preserve">Hovedlaget
0
</t>
        </r>
      </text>
    </comment>
    <comment ref="G95" authorId="2" shapeId="0" xr:uid="{00000000-0006-0000-0400-000010000000}">
      <text>
        <r>
          <rPr>
            <sz val="8"/>
            <color indexed="81"/>
            <rFont val="Tahoma"/>
            <family val="2"/>
          </rPr>
          <t>Fotball 49970
Håndball 30395
Svømming 11495
Allidrett 8570+2000
Håndball 150950
Fotball 28017</t>
        </r>
      </text>
    </comment>
    <comment ref="P95" authorId="1" shapeId="0" xr:uid="{00000000-0006-0000-0400-000011000000}">
      <text>
        <r>
          <rPr>
            <sz val="8"/>
            <color indexed="81"/>
            <rFont val="Tahoma"/>
            <family val="2"/>
          </rPr>
          <t xml:space="preserve">Hovedlaget
Lønn FFO 51 236
</t>
        </r>
      </text>
    </comment>
    <comment ref="S95" authorId="1" shapeId="0" xr:uid="{00000000-0006-0000-0400-000012000000}">
      <text>
        <r>
          <rPr>
            <sz val="8"/>
            <color indexed="81"/>
            <rFont val="Tahoma"/>
            <family val="2"/>
          </rPr>
          <t>Fotball 331.000
Hovedlaget 100.000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Svein Arild Bjøkne</author>
    <author>Bjøkne, Svein Arild</author>
    <author>Linda W Aspeslaen</author>
  </authors>
  <commentList>
    <comment ref="G13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 xml:space="preserve">Otta Cup 100000
Otta Cup Tribune kr. 140000
Tennis 4000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 xml:space="preserve">Hovedlaget 41540
</t>
        </r>
      </text>
    </comment>
    <comment ref="P13" authorId="1" shapeId="0" xr:uid="{00000000-0006-0000-0500-000003000000}">
      <text>
        <r>
          <rPr>
            <b/>
            <sz val="8"/>
            <color indexed="81"/>
            <rFont val="Tahoma"/>
            <family val="2"/>
          </rPr>
          <t>Otta Cup 312.000
Hovedlaget 76260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13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 xml:space="preserve">Hovedlaget 14260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13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 xml:space="preserve">Hovedlaget 7130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13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Hovedlaget
930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Tilskudd KGB fra fotball kr. 100 000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000000-0006-0000-0500-000008000000}">
      <text>
        <r>
          <rPr>
            <sz val="9"/>
            <color indexed="81"/>
            <rFont val="Tahoma"/>
            <family val="2"/>
          </rPr>
          <t xml:space="preserve">Bidrag LAM midler fra hovedlaget
</t>
        </r>
      </text>
    </comment>
    <comment ref="P30" authorId="0" shapeId="0" xr:uid="{00000000-0006-0000-0500-000009000000}">
      <text>
        <r>
          <rPr>
            <sz val="9"/>
            <color indexed="81"/>
            <rFont val="Tahoma"/>
            <family val="2"/>
          </rPr>
          <t xml:space="preserve">Bidrag kunstgressbane ført hovedlaget
</t>
        </r>
      </text>
    </comment>
    <comment ref="S30" authorId="0" shapeId="0" xr:uid="{00000000-0006-0000-0500-00000A000000}">
      <text>
        <r>
          <rPr>
            <sz val="9"/>
            <color indexed="81"/>
            <rFont val="Tahoma"/>
            <family val="2"/>
          </rPr>
          <t xml:space="preserve">Bidrag Tribuner bokført i hovedlaget
</t>
        </r>
      </text>
    </comment>
    <comment ref="AE30" authorId="0" shapeId="0" xr:uid="{00000000-0006-0000-0500-00000B000000}">
      <text>
        <r>
          <rPr>
            <b/>
            <sz val="9"/>
            <color indexed="81"/>
            <rFont val="Tahoma"/>
            <family val="2"/>
          </rPr>
          <t>Overførsel kr 4000 til dekning av kjøp grus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1" authorId="1" shapeId="0" xr:uid="{00000000-0006-0000-0500-00000C000000}">
      <text>
        <r>
          <rPr>
            <sz val="8"/>
            <color indexed="81"/>
            <rFont val="Tahoma"/>
            <family val="2"/>
          </rPr>
          <t xml:space="preserve">OttaCup 100000
</t>
        </r>
      </text>
    </comment>
    <comment ref="J71" authorId="1" shapeId="0" xr:uid="{00000000-0006-0000-0500-00000D000000}">
      <text>
        <r>
          <rPr>
            <sz val="8"/>
            <color indexed="81"/>
            <rFont val="Tahoma"/>
            <family val="2"/>
          </rPr>
          <t xml:space="preserve">Hovedlaget 41540
Hovedlaget 35150
</t>
        </r>
      </text>
    </comment>
    <comment ref="P71" authorId="1" shapeId="0" xr:uid="{00000000-0006-0000-0500-00000E000000}">
      <text>
        <r>
          <rPr>
            <sz val="8"/>
            <color indexed="81"/>
            <rFont val="Tahoma"/>
            <family val="2"/>
          </rPr>
          <t>OttaCup 312.000
Hovedlaget 76.260
Hovedlaget 17.665</t>
        </r>
      </text>
    </comment>
    <comment ref="V71" authorId="1" shapeId="0" xr:uid="{00000000-0006-0000-0500-00000F000000}">
      <text>
        <r>
          <rPr>
            <sz val="8"/>
            <color indexed="81"/>
            <rFont val="Tahoma"/>
            <family val="2"/>
          </rPr>
          <t xml:space="preserve">Hovedlaget 14260
Håndball 1000
</t>
        </r>
      </text>
    </comment>
    <comment ref="AB71" authorId="1" shapeId="0" xr:uid="{00000000-0006-0000-0500-000010000000}">
      <text>
        <r>
          <rPr>
            <sz val="8"/>
            <color indexed="81"/>
            <rFont val="Tahoma"/>
            <family val="2"/>
          </rPr>
          <t xml:space="preserve">Hovedlaget 7130
</t>
        </r>
      </text>
    </comment>
    <comment ref="AE71" authorId="0" shapeId="0" xr:uid="{00000000-0006-0000-0500-000011000000}">
      <text>
        <r>
          <rPr>
            <sz val="9"/>
            <color indexed="81"/>
            <rFont val="Tahoma"/>
            <family val="2"/>
          </rPr>
          <t xml:space="preserve">Hovedlaget
930
</t>
        </r>
      </text>
    </comment>
    <comment ref="G95" authorId="2" shapeId="0" xr:uid="{00000000-0006-0000-0500-000012000000}">
      <text>
        <r>
          <rPr>
            <sz val="8"/>
            <color indexed="81"/>
            <rFont val="Tahoma"/>
            <family val="2"/>
          </rPr>
          <t>Fotball 76260
Håndball 41540
Svømming 14260
Allidrett 7130
Tennis 930
Håndball 35150
Fotball 17665</t>
        </r>
      </text>
    </comment>
    <comment ref="J95" authorId="0" shapeId="0" xr:uid="{00000000-0006-0000-0500-000013000000}">
      <text>
        <r>
          <rPr>
            <b/>
            <sz val="9"/>
            <color indexed="81"/>
            <rFont val="Tahoma"/>
            <family val="2"/>
          </rPr>
          <t>Svømming 1000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95" authorId="1" shapeId="0" xr:uid="{00000000-0006-0000-0500-000014000000}">
      <text>
        <r>
          <rPr>
            <sz val="8"/>
            <color indexed="81"/>
            <rFont val="Tahoma"/>
            <family val="2"/>
          </rPr>
          <t>Fotball 312.000
Hovedlaget 100.000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Svein Arild Bjøkne</author>
    <author>Bjøkne, Svein Arild</author>
    <author>Linda W Aspeslaen</author>
  </authors>
  <commentList>
    <comment ref="G13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 xml:space="preserve">Otta Cup 142265
Fotball 25000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 xml:space="preserve">Hovedlaget 46940
</t>
        </r>
      </text>
    </comment>
    <comment ref="P13" authorId="1" shapeId="0" xr:uid="{00000000-0006-0000-0600-000003000000}">
      <text>
        <r>
          <rPr>
            <b/>
            <sz val="8"/>
            <color indexed="81"/>
            <rFont val="Tahoma"/>
            <family val="2"/>
          </rPr>
          <t>Otta Cup 392.000
Hovedlaget 68470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13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 xml:space="preserve">Hovedlaget 16860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13" authorId="0" shapeId="0" xr:uid="{00000000-0006-0000-0600-000005000000}">
      <text>
        <r>
          <rPr>
            <b/>
            <sz val="8"/>
            <color indexed="81"/>
            <rFont val="Tahoma"/>
            <family val="2"/>
          </rPr>
          <t xml:space="preserve">Hovedlaget 16445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6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Tilskudd KGB fra fotball kr. 100 000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21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IB bank
Regnskap ikke inkludert tidligere.</t>
        </r>
      </text>
    </comment>
    <comment ref="G30" authorId="0" shapeId="0" xr:uid="{00000000-0006-0000-0600-000008000000}">
      <text>
        <r>
          <rPr>
            <sz val="9"/>
            <color indexed="81"/>
            <rFont val="Tahoma"/>
            <family val="2"/>
          </rPr>
          <t xml:space="preserve">Bidrag LAM midler fra hovedlaget
</t>
        </r>
      </text>
    </comment>
    <comment ref="P30" authorId="0" shapeId="0" xr:uid="{00000000-0006-0000-0600-000009000000}">
      <text>
        <r>
          <rPr>
            <sz val="9"/>
            <color indexed="81"/>
            <rFont val="Tahoma"/>
            <family val="2"/>
          </rPr>
          <t xml:space="preserve">Bidrag kunstgressbane ført hovedlaget
</t>
        </r>
      </text>
    </comment>
    <comment ref="S30" authorId="0" shapeId="0" xr:uid="{00000000-0006-0000-0600-00000A000000}">
      <text>
        <r>
          <rPr>
            <sz val="9"/>
            <color indexed="81"/>
            <rFont val="Tahoma"/>
            <family val="2"/>
          </rPr>
          <t xml:space="preserve">Bidrag kunstgressbane ført hovedlaget
</t>
        </r>
      </text>
    </comment>
    <comment ref="G71" authorId="1" shapeId="0" xr:uid="{00000000-0006-0000-0600-00000B000000}">
      <text>
        <r>
          <rPr>
            <sz val="8"/>
            <color indexed="81"/>
            <rFont val="Tahoma"/>
            <family val="2"/>
          </rPr>
          <t xml:space="preserve">OttaCup 100000
</t>
        </r>
      </text>
    </comment>
    <comment ref="J71" authorId="1" shapeId="0" xr:uid="{00000000-0006-0000-0600-00000C000000}">
      <text>
        <r>
          <rPr>
            <sz val="8"/>
            <color indexed="81"/>
            <rFont val="Tahoma"/>
            <family val="2"/>
          </rPr>
          <t xml:space="preserve">Hovedlaget 46940
</t>
        </r>
      </text>
    </comment>
    <comment ref="P71" authorId="1" shapeId="0" xr:uid="{00000000-0006-0000-0600-00000D000000}">
      <text>
        <r>
          <rPr>
            <sz val="8"/>
            <color indexed="81"/>
            <rFont val="Tahoma"/>
            <family val="2"/>
          </rPr>
          <t>OttaCup 392.000
Hovedlaget 79.829</t>
        </r>
      </text>
    </comment>
    <comment ref="V71" authorId="1" shapeId="0" xr:uid="{00000000-0006-0000-0600-00000E000000}">
      <text>
        <r>
          <rPr>
            <sz val="8"/>
            <color indexed="81"/>
            <rFont val="Tahoma"/>
            <family val="2"/>
          </rPr>
          <t xml:space="preserve">Hovedlaget 12860
</t>
        </r>
      </text>
    </comment>
    <comment ref="AB71" authorId="1" shapeId="0" xr:uid="{00000000-0006-0000-0600-00000F000000}">
      <text>
        <r>
          <rPr>
            <sz val="8"/>
            <color indexed="81"/>
            <rFont val="Tahoma"/>
            <family val="2"/>
          </rPr>
          <t xml:space="preserve">Hovedlaget 16445
</t>
        </r>
      </text>
    </comment>
    <comment ref="G95" authorId="2" shapeId="0" xr:uid="{00000000-0006-0000-0600-000010000000}">
      <text>
        <r>
          <rPr>
            <sz val="8"/>
            <color indexed="81"/>
            <rFont val="Tahoma"/>
            <family val="2"/>
          </rPr>
          <t xml:space="preserve">Fotball 79829
Håndball 46940
Svømming 12860
Allidrett 16445
</t>
        </r>
      </text>
    </comment>
    <comment ref="S95" authorId="1" shapeId="0" xr:uid="{00000000-0006-0000-0600-000011000000}">
      <text>
        <r>
          <rPr>
            <sz val="8"/>
            <color indexed="81"/>
            <rFont val="Tahoma"/>
            <family val="2"/>
          </rPr>
          <t>Fotball 392.000
Hovedlaget 100.000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Svein Arild Bjøkne</author>
    <author>Bjøkne, Svein Arild</author>
    <author>Linda W Aspeslaen</author>
  </authors>
  <commentList>
    <comment ref="G13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 xml:space="preserve">Otta Cup 100000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3" authorId="1" shapeId="0" xr:uid="{00000000-0006-0000-0700-000002000000}">
      <text>
        <r>
          <rPr>
            <b/>
            <sz val="8"/>
            <color indexed="81"/>
            <rFont val="Tahoma"/>
            <family val="2"/>
          </rPr>
          <t>Otta Cup 410.000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6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Tilskudd KGB fra fotball kr. 100 000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1" authorId="0" shapeId="0" xr:uid="{00000000-0006-0000-0700-000004000000}">
      <text>
        <r>
          <rPr>
            <sz val="9"/>
            <color indexed="81"/>
            <rFont val="Tahoma"/>
            <family val="2"/>
          </rPr>
          <t xml:space="preserve">NB
Korrigert for feil IB (fordring/EK) kr. 2000 i resultateffekt
</t>
        </r>
      </text>
    </comment>
    <comment ref="P30" authorId="0" shapeId="0" xr:uid="{00000000-0006-0000-0700-000005000000}">
      <text>
        <r>
          <rPr>
            <sz val="9"/>
            <color indexed="81"/>
            <rFont val="Tahoma"/>
            <family val="2"/>
          </rPr>
          <t xml:space="preserve">Bidrag kunstgressbane ført hovedlaget
</t>
        </r>
      </text>
    </comment>
    <comment ref="G71" authorId="1" shapeId="0" xr:uid="{00000000-0006-0000-0700-000006000000}">
      <text>
        <r>
          <rPr>
            <sz val="8"/>
            <color indexed="81"/>
            <rFont val="Tahoma"/>
            <family val="2"/>
          </rPr>
          <t xml:space="preserve">OttaCup 97631
</t>
        </r>
      </text>
    </comment>
    <comment ref="J71" authorId="1" shapeId="0" xr:uid="{00000000-0006-0000-0700-000007000000}">
      <text>
        <r>
          <rPr>
            <sz val="8"/>
            <color indexed="81"/>
            <rFont val="Tahoma"/>
            <family val="2"/>
          </rPr>
          <t xml:space="preserve">Hovedlaget 0
</t>
        </r>
      </text>
    </comment>
    <comment ref="P71" authorId="1" shapeId="0" xr:uid="{00000000-0006-0000-0700-000008000000}">
      <text>
        <r>
          <rPr>
            <sz val="8"/>
            <color indexed="81"/>
            <rFont val="Tahoma"/>
            <family val="2"/>
          </rPr>
          <t>OttaCup 403.000
Hovedlaget 40.232</t>
        </r>
      </text>
    </comment>
    <comment ref="G95" authorId="2" shapeId="0" xr:uid="{00000000-0006-0000-0700-000009000000}">
      <text>
        <r>
          <rPr>
            <sz val="8"/>
            <color indexed="81"/>
            <rFont val="Tahoma"/>
            <family val="2"/>
          </rPr>
          <t xml:space="preserve">Fotball 40232
</t>
        </r>
      </text>
    </comment>
    <comment ref="S95" authorId="1" shapeId="0" xr:uid="{00000000-0006-0000-0700-00000A000000}">
      <text>
        <r>
          <rPr>
            <sz val="8"/>
            <color indexed="81"/>
            <rFont val="Tahoma"/>
            <family val="2"/>
          </rPr>
          <t>Fotball 410.000
Hovedlaget 97.631</t>
        </r>
      </text>
    </comment>
    <comment ref="V95" authorId="1" shapeId="0" xr:uid="{00000000-0006-0000-0700-00000B000000}">
      <text>
        <r>
          <rPr>
            <b/>
            <sz val="8"/>
            <color indexed="81"/>
            <rFont val="Tahoma"/>
            <family val="2"/>
          </rPr>
          <t xml:space="preserve">Håndball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Svein Arild Bjøkne</author>
    <author>Bjøkne, Svein Arild</author>
    <author>Linda W Aspeslaen</author>
  </authors>
  <commentList>
    <comment ref="G13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 xml:space="preserve">Otta Cup 100000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3" authorId="1" shapeId="0" xr:uid="{00000000-0006-0000-0800-000002000000}">
      <text>
        <r>
          <rPr>
            <b/>
            <sz val="8"/>
            <color indexed="81"/>
            <rFont val="Tahoma"/>
            <family val="2"/>
          </rPr>
          <t>Otta Cup 410.000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1" authorId="1" shapeId="0" xr:uid="{00000000-0006-0000-0800-000003000000}">
      <text>
        <r>
          <rPr>
            <sz val="8"/>
            <color indexed="81"/>
            <rFont val="Tahoma"/>
            <family val="2"/>
          </rPr>
          <t xml:space="preserve">OttaCup 100.000
</t>
        </r>
      </text>
    </comment>
    <comment ref="J71" authorId="1" shapeId="0" xr:uid="{00000000-0006-0000-0800-000004000000}">
      <text>
        <r>
          <rPr>
            <sz val="8"/>
            <color indexed="81"/>
            <rFont val="Tahoma"/>
            <family val="2"/>
          </rPr>
          <t xml:space="preserve">Hovedlaget -43130
</t>
        </r>
      </text>
    </comment>
    <comment ref="P71" authorId="1" shapeId="0" xr:uid="{00000000-0006-0000-0800-000005000000}">
      <text>
        <r>
          <rPr>
            <sz val="8"/>
            <color indexed="81"/>
            <rFont val="Tahoma"/>
            <family val="2"/>
          </rPr>
          <t>OttaCup 410.000</t>
        </r>
      </text>
    </comment>
    <comment ref="G95" authorId="2" shapeId="0" xr:uid="{00000000-0006-0000-0800-000006000000}">
      <text>
        <r>
          <rPr>
            <sz val="8"/>
            <color indexed="81"/>
            <rFont val="Tahoma"/>
            <family val="2"/>
          </rPr>
          <t xml:space="preserve">Håndball 43130
</t>
        </r>
      </text>
    </comment>
    <comment ref="S95" authorId="1" shapeId="0" xr:uid="{00000000-0006-0000-0800-000007000000}">
      <text>
        <r>
          <rPr>
            <sz val="8"/>
            <color indexed="81"/>
            <rFont val="Tahoma"/>
            <family val="2"/>
          </rPr>
          <t>Fotball 410.000
Hovedlaget 100.000</t>
        </r>
      </text>
    </comment>
    <comment ref="V95" authorId="1" shapeId="0" xr:uid="{00000000-0006-0000-0800-000008000000}">
      <text>
        <r>
          <rPr>
            <b/>
            <sz val="8"/>
            <color indexed="81"/>
            <rFont val="Tahoma"/>
            <family val="2"/>
          </rPr>
          <t xml:space="preserve">Håndball
</t>
        </r>
      </text>
    </comment>
  </commentList>
</comments>
</file>

<file path=xl/sharedStrings.xml><?xml version="1.0" encoding="utf-8"?>
<sst xmlns="http://schemas.openxmlformats.org/spreadsheetml/2006/main" count="2049" uniqueCount="187">
  <si>
    <t xml:space="preserve">RESULTATREGNSKAP 01.01. - 31.12. </t>
  </si>
  <si>
    <t xml:space="preserve">                                                                      </t>
  </si>
  <si>
    <t>Budsjett 2009</t>
  </si>
  <si>
    <t xml:space="preserve">DRIFTSINNTEKTER                                                       </t>
  </si>
  <si>
    <t>NOTER</t>
  </si>
  <si>
    <t>Sum driftsinntekter</t>
  </si>
  <si>
    <t xml:space="preserve">DRIFTSKOSTNADER </t>
  </si>
  <si>
    <t>Sum driftskostnader</t>
  </si>
  <si>
    <t xml:space="preserve">Driftsresultat </t>
  </si>
  <si>
    <t>FINANSINNTEKTER OG -KOSTNADER</t>
  </si>
  <si>
    <t>Renteinntekter</t>
  </si>
  <si>
    <t>Resultat av finansposter</t>
  </si>
  <si>
    <t>Årsresultat</t>
  </si>
  <si>
    <t>ÅRSOPPGJØRSDISPOSISJONER</t>
  </si>
  <si>
    <t>Overført til/fra annen egenkapital</t>
  </si>
  <si>
    <t>SUM OVERFØRINGER</t>
  </si>
  <si>
    <t>BALANSE per 31.12</t>
  </si>
  <si>
    <t xml:space="preserve">EIENDELER                                                             </t>
  </si>
  <si>
    <t>ANNLEGGSMIDLER</t>
  </si>
  <si>
    <t>Sum varige driftsmidler</t>
  </si>
  <si>
    <t xml:space="preserve">OMLØPSMIDLER   </t>
  </si>
  <si>
    <t>Varelager</t>
  </si>
  <si>
    <t>Kundefordringer</t>
  </si>
  <si>
    <t>Andre kortsiktige fordringer</t>
  </si>
  <si>
    <t>Bankinnskudd, kontanter o.l.</t>
  </si>
  <si>
    <t>Sum omløpsmidler</t>
  </si>
  <si>
    <t>EGENKAPITAL OG GJELD</t>
  </si>
  <si>
    <t>EGENKAPITAL</t>
  </si>
  <si>
    <t>INNSKUTT EGENKAPITAL</t>
  </si>
  <si>
    <t>Aksjekapital</t>
  </si>
  <si>
    <t>Sum innskutt egenkapital</t>
  </si>
  <si>
    <t>Annen egenkapital</t>
  </si>
  <si>
    <t>Sum egenkapital</t>
  </si>
  <si>
    <t>GJELD</t>
  </si>
  <si>
    <t>Gjeld til kredittinstitusjoner</t>
  </si>
  <si>
    <t>Leverandørgjeld</t>
  </si>
  <si>
    <t>Annen kortsiktig gjeld</t>
  </si>
  <si>
    <t>Sum egenkapital og gjeld</t>
  </si>
  <si>
    <t>Eliminering</t>
  </si>
  <si>
    <t>Otta Idrettslag - med undergrupper</t>
  </si>
  <si>
    <t>Korr saldo</t>
  </si>
  <si>
    <t>Hovedlaget</t>
  </si>
  <si>
    <t>Saldo 2010</t>
  </si>
  <si>
    <t>Fotball</t>
  </si>
  <si>
    <t>Otta Cup</t>
  </si>
  <si>
    <t>Håndball</t>
  </si>
  <si>
    <t>Mitsubishi Cup</t>
  </si>
  <si>
    <t>Trimgruppa</t>
  </si>
  <si>
    <t>Allidrett</t>
  </si>
  <si>
    <t>Tennis</t>
  </si>
  <si>
    <t>Innebandy</t>
  </si>
  <si>
    <t>Svømming</t>
  </si>
  <si>
    <t>Ski</t>
  </si>
  <si>
    <t>Aktivitetsavgift</t>
  </si>
  <si>
    <t>Reklame-/sponsorinntekter</t>
  </si>
  <si>
    <t>Andre inntekter</t>
  </si>
  <si>
    <t>Leieinntekter</t>
  </si>
  <si>
    <t>Norsk Tipping - Grasrotandel</t>
  </si>
  <si>
    <t>Aktivitetsmidler Norges Idrettsforbund</t>
  </si>
  <si>
    <t>Andre tilskudd</t>
  </si>
  <si>
    <t>Lønnskostnader</t>
  </si>
  <si>
    <t>Drift anlegg og klubbhus</t>
  </si>
  <si>
    <t>Avskrivninger</t>
  </si>
  <si>
    <t>Annen driftskostnad</t>
  </si>
  <si>
    <t>Rentekostnader</t>
  </si>
  <si>
    <t>Nedskrivning av aksjer</t>
  </si>
  <si>
    <t>Tomter, bygninger og annen fast eiendom</t>
  </si>
  <si>
    <t>Driftsløsøre, inventar og utstyr</t>
  </si>
  <si>
    <t>SUM ANLEGGSMIDLER</t>
  </si>
  <si>
    <t>SUM EIENDELER</t>
  </si>
  <si>
    <t>Varige Driftsmidler</t>
  </si>
  <si>
    <t>Finansielle anleggsmidler</t>
  </si>
  <si>
    <t>Investering i aksjer og andeler</t>
  </si>
  <si>
    <t>Sum finansielel anleggsmidler</t>
  </si>
  <si>
    <t>Omløpsmidler</t>
  </si>
  <si>
    <t>Kassakreditt</t>
  </si>
  <si>
    <t>Skyldig offentlige avgifter</t>
  </si>
  <si>
    <t>Sum langsiktig gjeld</t>
  </si>
  <si>
    <t>Langsiktig gjeld</t>
  </si>
  <si>
    <t>Kortsiktig gjeld</t>
  </si>
  <si>
    <t>Sum kortsiktig gjeld</t>
  </si>
  <si>
    <t>SUM GJELD</t>
  </si>
  <si>
    <t>Salgsinntekter</t>
  </si>
  <si>
    <t>Bilettinntekter</t>
  </si>
  <si>
    <t>Lotteriinntekter</t>
  </si>
  <si>
    <t>Egenandeler</t>
  </si>
  <si>
    <t>Inntekter arrangement</t>
  </si>
  <si>
    <t>Medlemskontingent</t>
  </si>
  <si>
    <t>Tilskudd Sel kommune</t>
  </si>
  <si>
    <t>Varekostnad</t>
  </si>
  <si>
    <t>Trim</t>
  </si>
  <si>
    <t>Sum</t>
  </si>
  <si>
    <t>Korrigert resultat</t>
  </si>
  <si>
    <t>Varige driftsmidler</t>
  </si>
  <si>
    <t>SUM EGENKAPITAL OG GJELD</t>
  </si>
  <si>
    <t>Bokført</t>
  </si>
  <si>
    <t>Billettinntekter</t>
  </si>
  <si>
    <t>Inntekter arrangement/Cup</t>
  </si>
  <si>
    <t>1.</t>
  </si>
  <si>
    <t>REGNSKAPSPRINSIPPER</t>
  </si>
  <si>
    <t>Anleggsmidlene nedskrives til virkelig verdi ved verdifall som ikke forventes å være forbigående.</t>
  </si>
  <si>
    <t>Fordringer</t>
  </si>
  <si>
    <t xml:space="preserve">Kundefordringer og andre fordringer er ført opp i balansen etter fradrag for avsetning til forventede tap. </t>
  </si>
  <si>
    <t>2.</t>
  </si>
  <si>
    <t>3.</t>
  </si>
  <si>
    <t>Årsregnskapet er satt opp ihht. regnskaps- og revisjonsbestemmelser for organisasjonsledd tilknyttet</t>
  </si>
  <si>
    <t>Omløpsmidler og kortsiktig gjeld</t>
  </si>
  <si>
    <t>etter siste dag i regnskapsåret, samt poster som knytter seg til varekretsløpet. Omløpsmidler</t>
  </si>
  <si>
    <t>vurderes til laveste verdi av anskaffelseskost og antatt virkelig verdi (Laveste verdis prinsipp)</t>
  </si>
  <si>
    <t>Anleggsmidler og langsiktig gjeld</t>
  </si>
  <si>
    <t xml:space="preserve">Anleggsmidler omfatter eiendeler bestemt til varig eie og bruk for virksomheten. Anleggsmidler </t>
  </si>
  <si>
    <t>er vurdert til anskaffelseskost. Varig driftsmidler føres opp i balansen og avskrives over</t>
  </si>
  <si>
    <t>driftsmidlets forventede økonomiske levetid.</t>
  </si>
  <si>
    <t>Inntektsføring</t>
  </si>
  <si>
    <t>Inntektsføring ved salg av varer skjer på leveringstidspunktet. Tjenester inntektsføres i takt med</t>
  </si>
  <si>
    <t>utførelsen.</t>
  </si>
  <si>
    <t>Avsetningen til påregnelig tap gjøres ved vurdering av hver enkelt fordring.</t>
  </si>
  <si>
    <t>LØNNSKOSTNAD</t>
  </si>
  <si>
    <t>Norges Idrettsforbund samt relevante bestemmelser i regnskapslov og god regnskapsskikk</t>
  </si>
  <si>
    <t>for små foretak.</t>
  </si>
  <si>
    <t>ANTALL MEDLEMMER</t>
  </si>
  <si>
    <t>Saldo 2011</t>
  </si>
  <si>
    <t>Grasrotandel og momskompensasjon</t>
  </si>
  <si>
    <t>Volleyball</t>
  </si>
  <si>
    <t>Momskompensasjon</t>
  </si>
  <si>
    <t>Egenkapital</t>
  </si>
  <si>
    <t>IB</t>
  </si>
  <si>
    <t>UB</t>
  </si>
  <si>
    <t>Endring</t>
  </si>
  <si>
    <t>Avvik</t>
  </si>
  <si>
    <t>Hjelpeberegning lønnsnote</t>
  </si>
  <si>
    <t>Lønn daglig leder</t>
  </si>
  <si>
    <t>Lønn regnskap</t>
  </si>
  <si>
    <t>Lønn renhold</t>
  </si>
  <si>
    <t>Lønn vaktmester</t>
  </si>
  <si>
    <t>Lønn dommere</t>
  </si>
  <si>
    <t>Lønn trenere</t>
  </si>
  <si>
    <t>Bilgodtgjørelse dommere</t>
  </si>
  <si>
    <t>Bilgodtgjørelse trenere</t>
  </si>
  <si>
    <t>Annen godtgjørelse</t>
  </si>
  <si>
    <t>Arbeidsgiveravgift</t>
  </si>
  <si>
    <t>Annen personalkostnad</t>
  </si>
  <si>
    <t>SUM</t>
  </si>
  <si>
    <t>Feriepenger</t>
  </si>
  <si>
    <t>Bilgodtbjørelse andre</t>
  </si>
  <si>
    <t>Styrehonorar</t>
  </si>
  <si>
    <t>Lønn andre</t>
  </si>
  <si>
    <t>Lønn og feriepenger</t>
  </si>
  <si>
    <t>Lønn til trenere</t>
  </si>
  <si>
    <t>Bilgodtgjørelse andre</t>
  </si>
  <si>
    <t>Sum lønnskostnader</t>
  </si>
  <si>
    <t>Ytelser til ledende personer</t>
  </si>
  <si>
    <t>Daglig leder</t>
  </si>
  <si>
    <t>Regnskapsfører</t>
  </si>
  <si>
    <t>Godtgjørelse til revisor:</t>
  </si>
  <si>
    <t>Revisjon</t>
  </si>
  <si>
    <t>Revisjon - Håndball</t>
  </si>
  <si>
    <t>Revisjon - Fotball</t>
  </si>
  <si>
    <t>Revisjon - Otta Cup</t>
  </si>
  <si>
    <t>Revisjon - Hovedlaget med undergrupper</t>
  </si>
  <si>
    <t>Hovedlag</t>
  </si>
  <si>
    <t>Trimgruppe</t>
  </si>
  <si>
    <t>Grasrotandel</t>
  </si>
  <si>
    <t>Sum eliminering</t>
  </si>
  <si>
    <t>Lønn og utstyrgodtgj. til dommere</t>
  </si>
  <si>
    <t>Resultat</t>
  </si>
  <si>
    <t>Endring ek</t>
  </si>
  <si>
    <t xml:space="preserve"> </t>
  </si>
  <si>
    <t>Kitt Heidi Telebond</t>
  </si>
  <si>
    <t>Rolv Myrum</t>
  </si>
  <si>
    <t>Styrets leder</t>
  </si>
  <si>
    <t>Nestleder</t>
  </si>
  <si>
    <t>Killi Cup</t>
  </si>
  <si>
    <t>AGA 14655</t>
  </si>
  <si>
    <t>ANLEGGSMIDLER</t>
  </si>
  <si>
    <t>Omløpsmidler og kortsiktig gjeld omfatter normalt poster som forfaller til betaling innen ett år</t>
  </si>
  <si>
    <t>Mangler</t>
  </si>
  <si>
    <t>Elimineringer</t>
  </si>
  <si>
    <t>Diff</t>
  </si>
  <si>
    <t>v</t>
  </si>
  <si>
    <t>Refusjon</t>
  </si>
  <si>
    <t>Koronastøtte</t>
  </si>
  <si>
    <t>Anne Marte Bilben Kamp</t>
  </si>
  <si>
    <t>Ved utgangen av 2023 er det registert ____ medlemmer i Otta Idrettslag.</t>
  </si>
  <si>
    <t>NOTER TIL REGNSKAPET FOR 2023</t>
  </si>
  <si>
    <t>Otta 31. desember 2023</t>
  </si>
  <si>
    <t>I styret for Otta Idrettslag  ___. mars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</si>
</sst>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"/>
    </font>
    <font>
      <sz val="12"/>
      <name val="Arial"/>
      <family val="2"/>
    </font>
    <font>
      <b/>
      <sz val="24"/>
      <color indexed="63"/>
      <name val="Times New Roman"/>
      <family val="1"/>
    </font>
    <font>
      <sz val="10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b/>
      <u/>
      <sz val="13"/>
      <name val="Arial Narrow"/>
      <family val="2"/>
    </font>
    <font>
      <b/>
      <i/>
      <sz val="12"/>
      <color indexed="12"/>
      <name val="Arial"/>
      <family val="2"/>
    </font>
    <font>
      <b/>
      <i/>
      <sz val="13"/>
      <name val="Arial Narrow"/>
      <family val="2"/>
    </font>
    <font>
      <sz val="13"/>
      <name val="Arial Narrow"/>
      <family val="2"/>
    </font>
    <font>
      <b/>
      <u/>
      <sz val="12"/>
      <name val="Arial"/>
      <family val="2"/>
    </font>
    <font>
      <b/>
      <i/>
      <sz val="13"/>
      <color indexed="12"/>
      <name val="Arial Narrow"/>
      <family val="2"/>
    </font>
    <font>
      <b/>
      <u/>
      <sz val="10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b/>
      <sz val="24"/>
      <name val="Times New Roman"/>
      <family val="1"/>
    </font>
    <font>
      <b/>
      <sz val="14"/>
      <name val="Times New Roman"/>
      <family val="1"/>
    </font>
    <font>
      <sz val="12"/>
      <name val="Arial Narrow"/>
      <family val="2"/>
    </font>
    <font>
      <i/>
      <u/>
      <sz val="12"/>
      <name val="Arial"/>
      <family val="2"/>
    </font>
    <font>
      <i/>
      <u/>
      <sz val="13"/>
      <name val="Arial Narrow"/>
      <family val="2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64">
    <xf numFmtId="0" fontId="0" fillId="0" borderId="0" xfId="0"/>
    <xf numFmtId="0" fontId="2" fillId="0" borderId="0" xfId="1" applyNumberFormat="1" applyFont="1" applyAlignment="1"/>
    <xf numFmtId="0" fontId="3" fillId="0" borderId="0" xfId="1" applyNumberFormat="1" applyFont="1" applyAlignment="1">
      <alignment horizontal="center"/>
    </xf>
    <xf numFmtId="0" fontId="3" fillId="0" borderId="0" xfId="1" applyNumberFormat="1" applyFont="1" applyAlignment="1"/>
    <xf numFmtId="0" fontId="4" fillId="0" borderId="0" xfId="1" applyNumberFormat="1" applyFont="1" applyAlignment="1"/>
    <xf numFmtId="0" fontId="1" fillId="0" borderId="0" xfId="1" applyNumberFormat="1" applyFont="1" applyAlignment="1">
      <alignment horizontal="center"/>
    </xf>
    <xf numFmtId="0" fontId="1" fillId="2" borderId="0" xfId="1" applyNumberFormat="1" applyFont="1" applyFill="1" applyAlignment="1"/>
    <xf numFmtId="0" fontId="4" fillId="0" borderId="1" xfId="1" applyNumberFormat="1" applyFont="1" applyBorder="1" applyAlignment="1">
      <alignment horizontal="right"/>
    </xf>
    <xf numFmtId="0" fontId="4" fillId="0" borderId="2" xfId="1" applyNumberFormat="1" applyFont="1" applyBorder="1" applyAlignment="1">
      <alignment horizontal="right"/>
    </xf>
    <xf numFmtId="0" fontId="4" fillId="0" borderId="3" xfId="1" applyNumberFormat="1" applyFont="1" applyBorder="1" applyAlignment="1"/>
    <xf numFmtId="0" fontId="5" fillId="1" borderId="3" xfId="1" applyNumberFormat="1" applyFont="1" applyFill="1" applyBorder="1" applyAlignment="1">
      <alignment horizontal="center"/>
    </xf>
    <xf numFmtId="0" fontId="4" fillId="0" borderId="4" xfId="1" applyNumberFormat="1" applyFont="1" applyBorder="1" applyAlignment="1">
      <alignment horizontal="right"/>
    </xf>
    <xf numFmtId="0" fontId="1" fillId="0" borderId="0" xfId="1" applyNumberFormat="1" applyFont="1" applyBorder="1" applyAlignment="1"/>
    <xf numFmtId="0" fontId="1" fillId="1" borderId="0" xfId="1" applyNumberFormat="1" applyFont="1" applyFill="1" applyBorder="1" applyAlignment="1">
      <alignment horizontal="center"/>
    </xf>
    <xf numFmtId="3" fontId="1" fillId="0" borderId="0" xfId="1" applyNumberFormat="1" applyFont="1" applyBorder="1" applyAlignment="1"/>
    <xf numFmtId="0" fontId="1" fillId="0" borderId="0" xfId="1" applyNumberFormat="1" applyFont="1" applyAlignment="1"/>
    <xf numFmtId="0" fontId="1" fillId="1" borderId="0" xfId="1" applyNumberFormat="1" applyFont="1" applyFill="1" applyAlignment="1">
      <alignment horizontal="center"/>
    </xf>
    <xf numFmtId="3" fontId="8" fillId="0" borderId="5" xfId="1" applyNumberFormat="1" applyFont="1" applyBorder="1" applyAlignment="1"/>
    <xf numFmtId="3" fontId="9" fillId="0" borderId="5" xfId="1" applyNumberFormat="1" applyFont="1" applyBorder="1" applyAlignment="1"/>
    <xf numFmtId="3" fontId="9" fillId="0" borderId="0" xfId="1" applyNumberFormat="1" applyFont="1" applyAlignment="1"/>
    <xf numFmtId="3" fontId="10" fillId="0" borderId="5" xfId="1" applyNumberFormat="1" applyFont="1" applyBorder="1" applyAlignment="1"/>
    <xf numFmtId="3" fontId="8" fillId="0" borderId="0" xfId="1" applyNumberFormat="1" applyFont="1" applyAlignment="1"/>
    <xf numFmtId="0" fontId="11" fillId="0" borderId="0" xfId="1" applyNumberFormat="1" applyFont="1" applyAlignment="1"/>
    <xf numFmtId="3" fontId="8" fillId="0" borderId="6" xfId="1" applyNumberFormat="1" applyFont="1" applyBorder="1" applyAlignment="1"/>
    <xf numFmtId="3" fontId="9" fillId="0" borderId="0" xfId="1" applyNumberFormat="1" applyFont="1" applyBorder="1" applyAlignment="1"/>
    <xf numFmtId="0" fontId="4" fillId="1" borderId="0" xfId="1" applyNumberFormat="1" applyFont="1" applyFill="1" applyAlignment="1">
      <alignment horizontal="center"/>
    </xf>
    <xf numFmtId="3" fontId="12" fillId="0" borderId="0" xfId="1" applyNumberFormat="1" applyFont="1" applyAlignment="1"/>
    <xf numFmtId="3" fontId="13" fillId="0" borderId="0" xfId="1" applyNumberFormat="1" applyFont="1" applyAlignment="1"/>
    <xf numFmtId="3" fontId="8" fillId="0" borderId="0" xfId="1" applyNumberFormat="1" applyFont="1" applyBorder="1" applyAlignment="1"/>
    <xf numFmtId="3" fontId="8" fillId="0" borderId="0" xfId="1" applyNumberFormat="1" applyFont="1" applyFill="1" applyBorder="1" applyAlignment="1"/>
    <xf numFmtId="3" fontId="1" fillId="0" borderId="0" xfId="1" applyNumberFormat="1" applyFont="1" applyAlignment="1"/>
    <xf numFmtId="0" fontId="11" fillId="2" borderId="0" xfId="1" applyNumberFormat="1" applyFont="1" applyFill="1" applyAlignment="1"/>
    <xf numFmtId="0" fontId="11" fillId="0" borderId="0" xfId="1" applyNumberFormat="1" applyFont="1" applyAlignment="1">
      <alignment horizontal="center"/>
    </xf>
    <xf numFmtId="3" fontId="4" fillId="0" borderId="3" xfId="1" applyNumberFormat="1" applyFont="1" applyBorder="1" applyAlignment="1">
      <alignment horizontal="right"/>
    </xf>
    <xf numFmtId="3" fontId="11" fillId="0" borderId="0" xfId="1" applyNumberFormat="1" applyFont="1" applyAlignment="1"/>
    <xf numFmtId="0" fontId="4" fillId="0" borderId="5" xfId="1" applyNumberFormat="1" applyFont="1" applyBorder="1" applyAlignment="1"/>
    <xf numFmtId="0" fontId="5" fillId="1" borderId="5" xfId="1" applyNumberFormat="1" applyFont="1" applyFill="1" applyBorder="1" applyAlignment="1">
      <alignment horizontal="center"/>
    </xf>
    <xf numFmtId="3" fontId="4" fillId="0" borderId="5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0" fontId="4" fillId="0" borderId="0" xfId="1" applyNumberFormat="1" applyFont="1" applyBorder="1" applyAlignment="1"/>
    <xf numFmtId="0" fontId="5" fillId="1" borderId="0" xfId="1" applyNumberFormat="1" applyFont="1" applyFill="1" applyBorder="1" applyAlignment="1">
      <alignment horizontal="center"/>
    </xf>
    <xf numFmtId="3" fontId="14" fillId="0" borderId="0" xfId="1" applyNumberFormat="1" applyFont="1" applyAlignment="1"/>
    <xf numFmtId="3" fontId="14" fillId="0" borderId="0" xfId="1" applyNumberFormat="1" applyFont="1" applyBorder="1" applyAlignment="1"/>
    <xf numFmtId="3" fontId="15" fillId="0" borderId="0" xfId="1" applyNumberFormat="1" applyFont="1" applyAlignment="1"/>
    <xf numFmtId="3" fontId="15" fillId="0" borderId="0" xfId="1" applyNumberFormat="1" applyFont="1" applyBorder="1" applyAlignment="1"/>
    <xf numFmtId="3" fontId="13" fillId="0" borderId="0" xfId="1" applyNumberFormat="1" applyFont="1" applyBorder="1" applyAlignment="1"/>
    <xf numFmtId="3" fontId="9" fillId="0" borderId="7" xfId="1" applyNumberFormat="1" applyFont="1" applyBorder="1" applyAlignment="1"/>
    <xf numFmtId="3" fontId="12" fillId="0" borderId="0" xfId="1" applyNumberFormat="1" applyFont="1" applyAlignment="1">
      <alignment horizontal="center"/>
    </xf>
    <xf numFmtId="3" fontId="12" fillId="0" borderId="0" xfId="1" applyNumberFormat="1" applyFont="1" applyBorder="1" applyAlignment="1">
      <alignment horizontal="center"/>
    </xf>
    <xf numFmtId="3" fontId="16" fillId="0" borderId="7" xfId="1" applyNumberFormat="1" applyFont="1" applyBorder="1" applyAlignment="1"/>
    <xf numFmtId="3" fontId="16" fillId="0" borderId="0" xfId="1" applyNumberFormat="1" applyFont="1" applyBorder="1" applyAlignment="1"/>
    <xf numFmtId="3" fontId="3" fillId="0" borderId="0" xfId="1" applyNumberFormat="1" applyFont="1" applyAlignment="1"/>
    <xf numFmtId="3" fontId="3" fillId="0" borderId="0" xfId="1" applyNumberFormat="1" applyFont="1" applyBorder="1" applyAlignment="1"/>
    <xf numFmtId="0" fontId="1" fillId="0" borderId="0" xfId="1" applyNumberFormat="1" applyFont="1" applyBorder="1" applyAlignment="1">
      <alignment horizontal="centerContinuous"/>
    </xf>
    <xf numFmtId="0" fontId="17" fillId="0" borderId="0" xfId="1" applyNumberFormat="1" applyFont="1" applyAlignment="1">
      <alignment horizontal="centerContinuous"/>
    </xf>
    <xf numFmtId="0" fontId="1" fillId="0" borderId="0" xfId="1" applyNumberFormat="1" applyFont="1" applyAlignment="1">
      <alignment horizontal="centerContinuous"/>
    </xf>
    <xf numFmtId="0" fontId="1" fillId="0" borderId="0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1" fillId="0" borderId="0" xfId="1"/>
    <xf numFmtId="0" fontId="0" fillId="0" borderId="0" xfId="1" applyNumberFormat="1" applyFont="1" applyAlignment="1"/>
    <xf numFmtId="0" fontId="0" fillId="3" borderId="0" xfId="1" applyNumberFormat="1" applyFont="1" applyFill="1" applyAlignment="1"/>
    <xf numFmtId="0" fontId="18" fillId="3" borderId="0" xfId="1" applyNumberFormat="1" applyFont="1" applyFill="1" applyAlignment="1"/>
    <xf numFmtId="0" fontId="18" fillId="4" borderId="0" xfId="1" applyNumberFormat="1" applyFont="1" applyFill="1" applyAlignment="1"/>
    <xf numFmtId="0" fontId="0" fillId="4" borderId="0" xfId="1" applyNumberFormat="1" applyFont="1" applyFill="1" applyAlignment="1"/>
    <xf numFmtId="0" fontId="6" fillId="0" borderId="0" xfId="1" applyNumberFormat="1" applyFont="1" applyBorder="1" applyAlignment="1"/>
    <xf numFmtId="4" fontId="3" fillId="4" borderId="0" xfId="1" applyNumberFormat="1" applyFont="1" applyFill="1" applyAlignment="1"/>
    <xf numFmtId="4" fontId="3" fillId="3" borderId="0" xfId="1" applyNumberFormat="1" applyFont="1" applyFill="1" applyAlignment="1"/>
    <xf numFmtId="4" fontId="8" fillId="0" borderId="5" xfId="1" applyNumberFormat="1" applyFont="1" applyBorder="1" applyAlignment="1"/>
    <xf numFmtId="0" fontId="6" fillId="0" borderId="0" xfId="1" applyNumberFormat="1" applyFont="1" applyAlignment="1"/>
    <xf numFmtId="4" fontId="18" fillId="3" borderId="0" xfId="1" applyNumberFormat="1" applyFont="1" applyFill="1" applyAlignment="1"/>
    <xf numFmtId="0" fontId="22" fillId="0" borderId="0" xfId="1" applyNumberFormat="1" applyFont="1" applyAlignment="1"/>
    <xf numFmtId="0" fontId="23" fillId="0" borderId="0" xfId="1" applyNumberFormat="1" applyFont="1" applyAlignment="1"/>
    <xf numFmtId="3" fontId="8" fillId="0" borderId="9" xfId="1" applyNumberFormat="1" applyFont="1" applyBorder="1" applyAlignment="1"/>
    <xf numFmtId="3" fontId="24" fillId="0" borderId="7" xfId="1" applyNumberFormat="1" applyFont="1" applyBorder="1" applyAlignment="1"/>
    <xf numFmtId="0" fontId="19" fillId="0" borderId="0" xfId="0" applyFont="1"/>
    <xf numFmtId="0" fontId="18" fillId="0" borderId="0" xfId="0" applyFont="1"/>
    <xf numFmtId="4" fontId="3" fillId="5" borderId="0" xfId="1" applyNumberFormat="1" applyFont="1" applyFill="1" applyAlignment="1"/>
    <xf numFmtId="4" fontId="3" fillId="6" borderId="0" xfId="1" applyNumberFormat="1" applyFont="1" applyFill="1" applyAlignment="1"/>
    <xf numFmtId="4" fontId="3" fillId="7" borderId="0" xfId="1" applyNumberFormat="1" applyFont="1" applyFill="1" applyAlignment="1"/>
    <xf numFmtId="3" fontId="25" fillId="0" borderId="9" xfId="1" applyNumberFormat="1" applyFont="1" applyBorder="1" applyAlignment="1"/>
    <xf numFmtId="3" fontId="13" fillId="0" borderId="8" xfId="1" applyNumberFormat="1" applyFont="1" applyBorder="1" applyAlignment="1"/>
    <xf numFmtId="3" fontId="26" fillId="0" borderId="9" xfId="1" applyNumberFormat="1" applyFont="1" applyBorder="1" applyAlignment="1"/>
    <xf numFmtId="4" fontId="0" fillId="4" borderId="0" xfId="1" applyNumberFormat="1" applyFont="1" applyFill="1" applyAlignment="1"/>
    <xf numFmtId="0" fontId="4" fillId="0" borderId="10" xfId="1" applyNumberFormat="1" applyFont="1" applyBorder="1" applyAlignment="1"/>
    <xf numFmtId="3" fontId="23" fillId="0" borderId="0" xfId="2" applyNumberFormat="1" applyFont="1" applyAlignment="1"/>
    <xf numFmtId="3" fontId="27" fillId="0" borderId="0" xfId="2" applyNumberFormat="1" applyFont="1" applyAlignment="1"/>
    <xf numFmtId="3" fontId="18" fillId="0" borderId="0" xfId="2" applyNumberFormat="1" applyFont="1" applyAlignment="1"/>
    <xf numFmtId="3" fontId="28" fillId="0" borderId="0" xfId="2" applyNumberFormat="1" applyFont="1" applyAlignment="1"/>
    <xf numFmtId="3" fontId="22" fillId="0" borderId="0" xfId="2" applyNumberFormat="1" applyFont="1" applyAlignment="1"/>
    <xf numFmtId="3" fontId="29" fillId="0" borderId="0" xfId="2" applyNumberFormat="1" applyFont="1" applyAlignment="1"/>
    <xf numFmtId="3" fontId="18" fillId="0" borderId="0" xfId="2" applyNumberFormat="1" applyFont="1"/>
    <xf numFmtId="3" fontId="13" fillId="0" borderId="0" xfId="2" applyNumberFormat="1" applyFont="1" applyAlignment="1"/>
    <xf numFmtId="0" fontId="6" fillId="0" borderId="0" xfId="2"/>
    <xf numFmtId="3" fontId="13" fillId="0" borderId="0" xfId="2" applyNumberFormat="1" applyFont="1" applyBorder="1" applyAlignment="1"/>
    <xf numFmtId="3" fontId="23" fillId="0" borderId="0" xfId="2" applyNumberFormat="1" applyFont="1" applyBorder="1" applyAlignment="1"/>
    <xf numFmtId="3" fontId="7" fillId="0" borderId="0" xfId="2" applyNumberFormat="1" applyFont="1" applyAlignment="1"/>
    <xf numFmtId="0" fontId="1" fillId="0" borderId="0" xfId="1" applyNumberFormat="1" applyFont="1" applyAlignment="1">
      <alignment horizontal="center"/>
    </xf>
    <xf numFmtId="4" fontId="3" fillId="8" borderId="0" xfId="1" applyNumberFormat="1" applyFont="1" applyFill="1" applyAlignment="1"/>
    <xf numFmtId="0" fontId="1" fillId="0" borderId="0" xfId="1" applyNumberFormat="1" applyFont="1" applyAlignment="1">
      <alignment horizontal="center"/>
    </xf>
    <xf numFmtId="3" fontId="0" fillId="0" borderId="0" xfId="0" applyNumberFormat="1"/>
    <xf numFmtId="0" fontId="3" fillId="0" borderId="0" xfId="0" applyFont="1"/>
    <xf numFmtId="4" fontId="0" fillId="0" borderId="0" xfId="0" applyNumberFormat="1"/>
    <xf numFmtId="3" fontId="1" fillId="0" borderId="0" xfId="1" applyNumberFormat="1" applyFont="1" applyAlignment="1">
      <alignment horizontal="right"/>
    </xf>
    <xf numFmtId="3" fontId="3" fillId="0" borderId="0" xfId="1" applyNumberFormat="1" applyFont="1" applyAlignment="1">
      <alignment horizontal="right"/>
    </xf>
    <xf numFmtId="3" fontId="1" fillId="0" borderId="0" xfId="2" applyNumberFormat="1" applyFont="1" applyBorder="1" applyAlignment="1"/>
    <xf numFmtId="3" fontId="8" fillId="0" borderId="0" xfId="2" applyNumberFormat="1" applyFont="1" applyBorder="1" applyAlignment="1"/>
    <xf numFmtId="0" fontId="8" fillId="0" borderId="0" xfId="2" applyNumberFormat="1" applyFont="1" applyBorder="1" applyAlignment="1"/>
    <xf numFmtId="0" fontId="13" fillId="0" borderId="0" xfId="2" applyNumberFormat="1" applyFont="1" applyBorder="1" applyAlignment="1"/>
    <xf numFmtId="3" fontId="1" fillId="0" borderId="8" xfId="2" applyNumberFormat="1" applyFont="1" applyBorder="1" applyAlignment="1"/>
    <xf numFmtId="3" fontId="30" fillId="0" borderId="0" xfId="2" applyNumberFormat="1" applyFont="1" applyBorder="1" applyAlignment="1"/>
    <xf numFmtId="3" fontId="31" fillId="0" borderId="0" xfId="2" applyNumberFormat="1" applyFont="1" applyBorder="1" applyAlignment="1">
      <alignment horizontal="right"/>
    </xf>
    <xf numFmtId="3" fontId="4" fillId="0" borderId="0" xfId="2" applyNumberFormat="1" applyFont="1" applyAlignment="1"/>
    <xf numFmtId="3" fontId="13" fillId="0" borderId="8" xfId="2" applyNumberFormat="1" applyFont="1" applyBorder="1" applyAlignment="1"/>
    <xf numFmtId="4" fontId="3" fillId="9" borderId="0" xfId="1" applyNumberFormat="1" applyFont="1" applyFill="1" applyAlignment="1"/>
    <xf numFmtId="0" fontId="1" fillId="0" borderId="0" xfId="1" applyNumberFormat="1" applyFont="1" applyAlignment="1">
      <alignment horizontal="center"/>
    </xf>
    <xf numFmtId="0" fontId="1" fillId="0" borderId="0" xfId="1" applyNumberFormat="1" applyFont="1" applyAlignment="1">
      <alignment horizontal="center"/>
    </xf>
    <xf numFmtId="0" fontId="1" fillId="0" borderId="0" xfId="1" applyNumberFormat="1" applyFont="1" applyFill="1" applyAlignment="1">
      <alignment horizontal="center"/>
    </xf>
    <xf numFmtId="0" fontId="11" fillId="2" borderId="8" xfId="1" applyNumberFormat="1" applyFont="1" applyFill="1" applyBorder="1" applyAlignment="1"/>
    <xf numFmtId="0" fontId="11" fillId="0" borderId="8" xfId="1" applyNumberFormat="1" applyFont="1" applyBorder="1" applyAlignment="1">
      <alignment horizontal="center"/>
    </xf>
    <xf numFmtId="3" fontId="8" fillId="0" borderId="11" xfId="1" applyNumberFormat="1" applyFont="1" applyBorder="1" applyAlignment="1"/>
    <xf numFmtId="4" fontId="3" fillId="10" borderId="0" xfId="1" applyNumberFormat="1" applyFont="1" applyFill="1" applyAlignment="1"/>
    <xf numFmtId="3" fontId="13" fillId="0" borderId="0" xfId="1" applyNumberFormat="1" applyFont="1" applyFill="1" applyAlignment="1"/>
    <xf numFmtId="0" fontId="1" fillId="0" borderId="0" xfId="1" applyNumberFormat="1" applyFont="1" applyAlignment="1">
      <alignment horizontal="center"/>
    </xf>
    <xf numFmtId="0" fontId="3" fillId="0" borderId="0" xfId="1" applyNumberFormat="1" applyFont="1" applyFill="1" applyAlignment="1"/>
    <xf numFmtId="0" fontId="32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1" applyNumberFormat="1" applyFont="1" applyAlignment="1">
      <alignment horizontal="center"/>
    </xf>
    <xf numFmtId="4" fontId="1" fillId="0" borderId="0" xfId="1" applyNumberFormat="1"/>
    <xf numFmtId="3" fontId="13" fillId="0" borderId="0" xfId="2" applyNumberFormat="1" applyFont="1" applyFill="1" applyBorder="1" applyAlignment="1"/>
    <xf numFmtId="3" fontId="9" fillId="0" borderId="0" xfId="2" applyNumberFormat="1" applyFont="1" applyFill="1" applyBorder="1" applyAlignment="1"/>
    <xf numFmtId="3" fontId="13" fillId="0" borderId="8" xfId="2" applyNumberFormat="1" applyFont="1" applyFill="1" applyBorder="1" applyAlignment="1"/>
    <xf numFmtId="0" fontId="1" fillId="0" borderId="0" xfId="1" applyNumberFormat="1" applyFont="1" applyAlignment="1">
      <alignment horizontal="center"/>
    </xf>
    <xf numFmtId="4" fontId="3" fillId="11" borderId="0" xfId="1" applyNumberFormat="1" applyFont="1" applyFill="1" applyAlignment="1"/>
    <xf numFmtId="4" fontId="18" fillId="11" borderId="0" xfId="1" applyNumberFormat="1" applyFont="1" applyFill="1" applyAlignment="1"/>
    <xf numFmtId="3" fontId="3" fillId="11" borderId="0" xfId="1" applyNumberFormat="1" applyFont="1" applyFill="1" applyAlignment="1"/>
    <xf numFmtId="1" fontId="4" fillId="0" borderId="1" xfId="1" applyNumberFormat="1" applyFont="1" applyBorder="1" applyAlignment="1">
      <alignment horizontal="right"/>
    </xf>
    <xf numFmtId="1" fontId="4" fillId="0" borderId="3" xfId="1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1" applyNumberFormat="1" applyFont="1" applyFill="1" applyAlignment="1"/>
    <xf numFmtId="3" fontId="19" fillId="0" borderId="0" xfId="0" applyNumberFormat="1" applyFont="1"/>
    <xf numFmtId="0" fontId="1" fillId="0" borderId="0" xfId="1" applyNumberFormat="1" applyFont="1" applyAlignment="1">
      <alignment horizontal="center"/>
    </xf>
    <xf numFmtId="3" fontId="3" fillId="0" borderId="0" xfId="2" applyNumberFormat="1" applyFont="1" applyAlignment="1"/>
    <xf numFmtId="3" fontId="35" fillId="0" borderId="0" xfId="2" applyNumberFormat="1" applyFont="1" applyAlignment="1"/>
    <xf numFmtId="0" fontId="1" fillId="0" borderId="0" xfId="1" applyNumberFormat="1" applyFont="1" applyAlignment="1">
      <alignment horizontal="center"/>
    </xf>
    <xf numFmtId="0" fontId="1" fillId="12" borderId="0" xfId="1" applyNumberFormat="1" applyFont="1" applyFill="1" applyAlignment="1">
      <alignment horizontal="center"/>
    </xf>
    <xf numFmtId="3" fontId="8" fillId="12" borderId="0" xfId="1" applyNumberFormat="1" applyFont="1" applyFill="1" applyBorder="1" applyAlignment="1"/>
    <xf numFmtId="0" fontId="3" fillId="12" borderId="0" xfId="1" applyNumberFormat="1" applyFont="1" applyFill="1" applyAlignment="1"/>
    <xf numFmtId="0" fontId="1" fillId="0" borderId="0" xfId="1" applyNumberFormat="1" applyFont="1" applyAlignment="1">
      <alignment horizontal="center"/>
    </xf>
    <xf numFmtId="0" fontId="1" fillId="0" borderId="0" xfId="1" applyNumberFormat="1" applyFont="1" applyAlignment="1">
      <alignment horizontal="center"/>
    </xf>
    <xf numFmtId="3" fontId="1" fillId="0" borderId="0" xfId="1" applyNumberFormat="1"/>
    <xf numFmtId="0" fontId="1" fillId="0" borderId="0" xfId="1" applyNumberFormat="1" applyFont="1" applyAlignment="1">
      <alignment horizontal="center"/>
    </xf>
    <xf numFmtId="3" fontId="7" fillId="12" borderId="0" xfId="2" applyNumberFormat="1" applyFont="1" applyFill="1" applyAlignment="1"/>
    <xf numFmtId="3" fontId="13" fillId="12" borderId="0" xfId="2" applyNumberFormat="1" applyFont="1" applyFill="1" applyAlignment="1"/>
    <xf numFmtId="0" fontId="1" fillId="0" borderId="0" xfId="1" applyNumberFormat="1" applyFont="1" applyAlignment="1">
      <alignment horizontal="center"/>
    </xf>
    <xf numFmtId="0" fontId="1" fillId="0" borderId="0" xfId="1" applyNumberFormat="1" applyFont="1" applyAlignment="1">
      <alignment horizontal="center"/>
    </xf>
    <xf numFmtId="0" fontId="1" fillId="5" borderId="0" xfId="1" applyFill="1"/>
    <xf numFmtId="0" fontId="1" fillId="0" borderId="0" xfId="1" applyNumberFormat="1" applyFont="1" applyAlignment="1">
      <alignment horizontal="center"/>
    </xf>
    <xf numFmtId="0" fontId="17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1" applyNumberFormat="1" applyFont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9" fillId="4" borderId="0" xfId="1" applyNumberFormat="1" applyFont="1" applyFill="1" applyAlignment="1">
      <alignment horizontal="center"/>
    </xf>
    <xf numFmtId="0" fontId="19" fillId="3" borderId="0" xfId="1" applyNumberFormat="1" applyFont="1" applyFill="1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_STOCO_REGNSKAP_2006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B166"/>
  <sheetViews>
    <sheetView tabSelected="1" zoomScaleNormal="100" workbookViewId="0">
      <selection activeCell="A22" sqref="A22"/>
    </sheetView>
  </sheetViews>
  <sheetFormatPr baseColWidth="10" defaultColWidth="12.42578125" defaultRowHeight="15" x14ac:dyDescent="0.2"/>
  <cols>
    <col min="1" max="1" width="49" style="3" customWidth="1"/>
    <col min="2" max="2" width="9" style="3" customWidth="1"/>
    <col min="3" max="4" width="16.28515625" style="3" customWidth="1"/>
    <col min="5" max="5" width="16.28515625" style="3" hidden="1" customWidth="1"/>
    <col min="6" max="236" width="12.42578125" style="3" customWidth="1"/>
    <col min="237" max="16384" width="12.42578125" style="58"/>
  </cols>
  <sheetData>
    <row r="1" spans="1:8" ht="30" x14ac:dyDescent="0.4">
      <c r="A1" s="1" t="s">
        <v>39</v>
      </c>
      <c r="B1" s="2"/>
      <c r="C1" s="2"/>
      <c r="D1" s="2"/>
      <c r="E1" s="2"/>
    </row>
    <row r="2" spans="1:8" ht="6.95" customHeight="1" x14ac:dyDescent="0.2">
      <c r="B2" s="2"/>
      <c r="C2" s="2"/>
      <c r="D2" s="2"/>
      <c r="E2" s="2"/>
    </row>
    <row r="3" spans="1:8" x14ac:dyDescent="0.2">
      <c r="A3" s="4" t="s">
        <v>0</v>
      </c>
      <c r="B3" s="5"/>
      <c r="C3" s="5"/>
      <c r="D3" s="115"/>
      <c r="E3" s="5"/>
    </row>
    <row r="4" spans="1:8" x14ac:dyDescent="0.2">
      <c r="A4" s="6" t="s">
        <v>1</v>
      </c>
      <c r="B4" s="5"/>
      <c r="C4" s="7">
        <v>2023</v>
      </c>
      <c r="D4" s="7">
        <v>2022</v>
      </c>
      <c r="E4" s="8" t="s">
        <v>2</v>
      </c>
      <c r="H4" s="59"/>
    </row>
    <row r="5" spans="1:8" ht="17.100000000000001" customHeight="1" x14ac:dyDescent="0.25">
      <c r="A5" s="9" t="s">
        <v>3</v>
      </c>
      <c r="B5" s="36" t="s">
        <v>4</v>
      </c>
      <c r="C5" s="11"/>
      <c r="D5" s="11"/>
      <c r="E5" s="11" t="s">
        <v>2</v>
      </c>
    </row>
    <row r="6" spans="1:8" ht="21.95" customHeight="1" x14ac:dyDescent="0.2">
      <c r="A6" s="64" t="s">
        <v>82</v>
      </c>
      <c r="B6" s="13"/>
      <c r="C6" s="14">
        <f>'Undergrupper 2023'!C7</f>
        <v>348956</v>
      </c>
      <c r="D6" s="14">
        <v>373752</v>
      </c>
      <c r="E6" s="12"/>
    </row>
    <row r="7" spans="1:8" ht="17.25" customHeight="1" x14ac:dyDescent="0.2">
      <c r="A7" s="64" t="s">
        <v>96</v>
      </c>
      <c r="B7" s="13"/>
      <c r="C7" s="14">
        <f>'Undergrupper 2023'!C8</f>
        <v>122569</v>
      </c>
      <c r="D7" s="14">
        <v>68950</v>
      </c>
      <c r="E7" s="14">
        <v>60000</v>
      </c>
    </row>
    <row r="8" spans="1:8" ht="17.25" customHeight="1" x14ac:dyDescent="0.2">
      <c r="A8" s="64" t="s">
        <v>84</v>
      </c>
      <c r="B8" s="13"/>
      <c r="C8" s="14">
        <f>'Undergrupper 2023'!C9</f>
        <v>125900</v>
      </c>
      <c r="D8" s="14">
        <v>48000</v>
      </c>
      <c r="E8" s="14">
        <v>80000</v>
      </c>
    </row>
    <row r="9" spans="1:8" ht="17.25" customHeight="1" x14ac:dyDescent="0.2">
      <c r="A9" s="64" t="s">
        <v>97</v>
      </c>
      <c r="B9" s="13"/>
      <c r="C9" s="14">
        <f>'Undergrupper 2023'!C10</f>
        <v>856770</v>
      </c>
      <c r="D9" s="14">
        <v>602925</v>
      </c>
      <c r="E9" s="14">
        <v>45000</v>
      </c>
    </row>
    <row r="10" spans="1:8" ht="17.25" customHeight="1" x14ac:dyDescent="0.2">
      <c r="A10" s="64" t="s">
        <v>88</v>
      </c>
      <c r="B10" s="13"/>
      <c r="C10" s="14">
        <f>'Undergrupper 2023'!C11</f>
        <v>273324</v>
      </c>
      <c r="D10" s="14">
        <v>230776</v>
      </c>
      <c r="E10" s="14">
        <v>3000</v>
      </c>
    </row>
    <row r="11" spans="1:8" ht="17.25" customHeight="1" x14ac:dyDescent="0.2">
      <c r="A11" s="64" t="s">
        <v>58</v>
      </c>
      <c r="B11" s="13"/>
      <c r="C11" s="14">
        <f>'Undergrupper 2023'!C12</f>
        <v>197258</v>
      </c>
      <c r="D11" s="14">
        <v>195949</v>
      </c>
      <c r="E11" s="14">
        <v>32000</v>
      </c>
    </row>
    <row r="12" spans="1:8" ht="17.25" customHeight="1" x14ac:dyDescent="0.2">
      <c r="A12" s="64" t="s">
        <v>59</v>
      </c>
      <c r="B12" s="13"/>
      <c r="C12" s="14">
        <f>'Undergrupper 2023'!C13</f>
        <v>25500</v>
      </c>
      <c r="D12" s="14">
        <v>18525</v>
      </c>
      <c r="E12" s="14">
        <v>70000</v>
      </c>
    </row>
    <row r="13" spans="1:8" ht="17.25" customHeight="1" x14ac:dyDescent="0.2">
      <c r="A13" s="64" t="s">
        <v>87</v>
      </c>
      <c r="B13" s="13">
        <v>3</v>
      </c>
      <c r="C13" s="14">
        <f>'Undergrupper 2023'!C14</f>
        <v>47100</v>
      </c>
      <c r="D13" s="14">
        <v>41200</v>
      </c>
      <c r="E13" s="14">
        <v>70000</v>
      </c>
    </row>
    <row r="14" spans="1:8" ht="17.25" customHeight="1" x14ac:dyDescent="0.2">
      <c r="A14" s="64" t="s">
        <v>53</v>
      </c>
      <c r="B14" s="13"/>
      <c r="C14" s="14">
        <f>'Undergrupper 2023'!C15</f>
        <v>306048</v>
      </c>
      <c r="D14" s="14">
        <v>249306</v>
      </c>
      <c r="E14" s="14">
        <v>20000</v>
      </c>
    </row>
    <row r="15" spans="1:8" ht="17.25" customHeight="1" x14ac:dyDescent="0.2">
      <c r="A15" s="64" t="s">
        <v>54</v>
      </c>
      <c r="B15" s="13"/>
      <c r="C15" s="14">
        <f>'Undergrupper 2023'!C16</f>
        <v>446914</v>
      </c>
      <c r="D15" s="14">
        <v>545395</v>
      </c>
      <c r="E15" s="14">
        <v>0</v>
      </c>
    </row>
    <row r="16" spans="1:8" ht="17.25" hidden="1" customHeight="1" x14ac:dyDescent="0.2">
      <c r="A16" s="12" t="s">
        <v>181</v>
      </c>
      <c r="B16" s="13"/>
      <c r="C16" s="14">
        <f>'Undergrupper 2023'!C17</f>
        <v>0</v>
      </c>
      <c r="D16" s="14">
        <v>0</v>
      </c>
      <c r="E16" s="14"/>
    </row>
    <row r="17" spans="1:5" ht="17.25" customHeight="1" x14ac:dyDescent="0.2">
      <c r="A17" s="64" t="s">
        <v>56</v>
      </c>
      <c r="B17" s="13"/>
      <c r="C17" s="14">
        <f>'Undergrupper 2023'!C18</f>
        <v>105700</v>
      </c>
      <c r="D17" s="14">
        <v>15600</v>
      </c>
      <c r="E17" s="14">
        <v>55000</v>
      </c>
    </row>
    <row r="18" spans="1:5" ht="17.25" customHeight="1" x14ac:dyDescent="0.2">
      <c r="A18" s="64" t="s">
        <v>57</v>
      </c>
      <c r="B18" s="13"/>
      <c r="C18" s="14">
        <f>'Undergrupper 2023'!C19</f>
        <v>98925</v>
      </c>
      <c r="D18" s="14">
        <v>100614</v>
      </c>
      <c r="E18" s="14">
        <v>0</v>
      </c>
    </row>
    <row r="19" spans="1:5" ht="17.25" customHeight="1" x14ac:dyDescent="0.2">
      <c r="A19" s="12" t="s">
        <v>124</v>
      </c>
      <c r="B19" s="13"/>
      <c r="C19" s="14">
        <f>'Undergrupper 2023'!C20</f>
        <v>242435</v>
      </c>
      <c r="D19" s="14">
        <v>156383</v>
      </c>
      <c r="E19" s="14"/>
    </row>
    <row r="20" spans="1:5" ht="17.25" customHeight="1" x14ac:dyDescent="0.2">
      <c r="A20" s="64" t="s">
        <v>55</v>
      </c>
      <c r="B20" s="13"/>
      <c r="C20" s="14">
        <f>'Undergrupper 2023'!C21</f>
        <v>455700</v>
      </c>
      <c r="D20" s="14">
        <v>838872</v>
      </c>
      <c r="E20" s="14">
        <v>27000</v>
      </c>
    </row>
    <row r="21" spans="1:5" s="3" customFormat="1" ht="17.25" x14ac:dyDescent="0.3">
      <c r="A21" s="4" t="s">
        <v>5</v>
      </c>
      <c r="B21" s="16">
        <v>1</v>
      </c>
      <c r="C21" s="17">
        <f>SUM(C6:C20)</f>
        <v>3653099</v>
      </c>
      <c r="D21" s="17">
        <f>SUM(D6:D20)</f>
        <v>3486247</v>
      </c>
      <c r="E21" s="17">
        <f>SUM(E7:E20)</f>
        <v>462000</v>
      </c>
    </row>
    <row r="22" spans="1:5" s="3" customFormat="1" ht="21.95" customHeight="1" x14ac:dyDescent="0.3">
      <c r="A22" s="15"/>
      <c r="B22" s="16"/>
      <c r="C22" s="18"/>
      <c r="D22" s="18"/>
      <c r="E22" s="18"/>
    </row>
    <row r="23" spans="1:5" s="3" customFormat="1" ht="17.25" x14ac:dyDescent="0.3">
      <c r="A23" s="4" t="s">
        <v>6</v>
      </c>
      <c r="B23" s="16"/>
      <c r="C23" s="19"/>
      <c r="D23" s="19"/>
      <c r="E23" s="19"/>
    </row>
    <row r="24" spans="1:5" s="3" customFormat="1" ht="9.9499999999999993" customHeight="1" x14ac:dyDescent="0.3">
      <c r="A24" s="15"/>
      <c r="B24" s="16"/>
      <c r="C24" s="19"/>
      <c r="D24" s="19"/>
      <c r="E24" s="19"/>
    </row>
    <row r="25" spans="1:5" s="3" customFormat="1" ht="16.5" customHeight="1" x14ac:dyDescent="0.3">
      <c r="A25" s="68" t="s">
        <v>89</v>
      </c>
      <c r="B25" s="16"/>
      <c r="C25" s="19">
        <f>'Undergrupper 2023'!C26</f>
        <v>404622</v>
      </c>
      <c r="D25" s="19">
        <v>289887</v>
      </c>
      <c r="E25" s="19">
        <v>35000</v>
      </c>
    </row>
    <row r="26" spans="1:5" s="3" customFormat="1" ht="16.5" customHeight="1" x14ac:dyDescent="0.3">
      <c r="A26" s="68" t="s">
        <v>60</v>
      </c>
      <c r="B26" s="16">
        <v>2</v>
      </c>
      <c r="C26" s="19">
        <f>'Undergrupper 2023'!C27</f>
        <v>1010128</v>
      </c>
      <c r="D26" s="19">
        <v>766297</v>
      </c>
      <c r="E26" s="19">
        <v>0</v>
      </c>
    </row>
    <row r="27" spans="1:5" s="3" customFormat="1" ht="16.5" customHeight="1" x14ac:dyDescent="0.3">
      <c r="A27" s="68" t="s">
        <v>62</v>
      </c>
      <c r="B27" s="16"/>
      <c r="C27" s="19">
        <f>'Undergrupper 2023'!C28</f>
        <v>173118</v>
      </c>
      <c r="D27" s="19">
        <v>160003</v>
      </c>
      <c r="E27" s="19">
        <v>45000</v>
      </c>
    </row>
    <row r="28" spans="1:5" s="3" customFormat="1" ht="16.5" customHeight="1" x14ac:dyDescent="0.3">
      <c r="A28" s="68" t="s">
        <v>61</v>
      </c>
      <c r="B28" s="16"/>
      <c r="C28" s="19">
        <f>'Undergrupper 2023'!C29</f>
        <v>148485</v>
      </c>
      <c r="D28" s="19">
        <v>85067</v>
      </c>
      <c r="E28" s="19">
        <v>10000</v>
      </c>
    </row>
    <row r="29" spans="1:5" s="3" customFormat="1" ht="17.25" x14ac:dyDescent="0.3">
      <c r="A29" s="68" t="s">
        <v>63</v>
      </c>
      <c r="B29" s="16">
        <v>2</v>
      </c>
      <c r="C29" s="19">
        <f>'Undergrupper 2023'!C30</f>
        <v>2085499</v>
      </c>
      <c r="D29" s="19">
        <v>1743285</v>
      </c>
      <c r="E29" s="19">
        <v>6000</v>
      </c>
    </row>
    <row r="30" spans="1:5" s="3" customFormat="1" ht="17.25" x14ac:dyDescent="0.3">
      <c r="A30" s="4" t="s">
        <v>7</v>
      </c>
      <c r="B30" s="16"/>
      <c r="C30" s="17">
        <f>SUM(C25:C29)</f>
        <v>3821852</v>
      </c>
      <c r="D30" s="17">
        <f>SUM(D25:D29)</f>
        <v>3044539</v>
      </c>
      <c r="E30" s="17">
        <f>SUM(E25:E29)</f>
        <v>96000</v>
      </c>
    </row>
    <row r="31" spans="1:5" s="3" customFormat="1" ht="17.25" x14ac:dyDescent="0.3">
      <c r="A31" s="15"/>
      <c r="B31" s="16"/>
      <c r="C31" s="20"/>
      <c r="D31" s="20"/>
      <c r="E31" s="20"/>
    </row>
    <row r="32" spans="1:5" s="3" customFormat="1" ht="17.25" x14ac:dyDescent="0.3">
      <c r="A32" s="4" t="s">
        <v>8</v>
      </c>
      <c r="B32" s="16"/>
      <c r="C32" s="21">
        <f>C21-C30-1</f>
        <v>-168754</v>
      </c>
      <c r="D32" s="21">
        <f>D21-D30+2</f>
        <v>441710</v>
      </c>
      <c r="E32" s="21">
        <f>E21-E30</f>
        <v>366000</v>
      </c>
    </row>
    <row r="33" spans="1:5" s="3" customFormat="1" ht="23.1" customHeight="1" x14ac:dyDescent="0.3">
      <c r="A33" s="22"/>
      <c r="B33" s="16"/>
      <c r="C33" s="18"/>
      <c r="D33" s="18"/>
      <c r="E33" s="18"/>
    </row>
    <row r="34" spans="1:5" s="3" customFormat="1" ht="17.25" x14ac:dyDescent="0.3">
      <c r="A34" s="4" t="s">
        <v>9</v>
      </c>
      <c r="B34" s="16"/>
      <c r="C34" s="19"/>
      <c r="D34" s="19"/>
      <c r="E34" s="19"/>
    </row>
    <row r="35" spans="1:5" s="3" customFormat="1" ht="9.9499999999999993" customHeight="1" x14ac:dyDescent="0.3">
      <c r="A35" s="4"/>
      <c r="B35" s="16"/>
      <c r="C35" s="19"/>
      <c r="D35" s="19"/>
      <c r="E35" s="19"/>
    </row>
    <row r="36" spans="1:5" s="3" customFormat="1" ht="16.5" customHeight="1" x14ac:dyDescent="0.3">
      <c r="A36" s="15" t="s">
        <v>10</v>
      </c>
      <c r="B36" s="16"/>
      <c r="C36" s="19">
        <f>'Undergrupper 2023'!C37</f>
        <v>39555</v>
      </c>
      <c r="D36" s="19">
        <v>10280</v>
      </c>
      <c r="E36" s="19"/>
    </row>
    <row r="37" spans="1:5" s="3" customFormat="1" ht="16.5" customHeight="1" x14ac:dyDescent="0.3">
      <c r="A37" s="68" t="s">
        <v>64</v>
      </c>
      <c r="B37" s="16"/>
      <c r="C37" s="19">
        <f>'Undergrupper 2023'!C38</f>
        <v>889</v>
      </c>
      <c r="D37" s="19">
        <v>85</v>
      </c>
      <c r="E37" s="19"/>
    </row>
    <row r="38" spans="1:5" s="3" customFormat="1" ht="16.5" customHeight="1" x14ac:dyDescent="0.3">
      <c r="A38" s="68"/>
      <c r="B38" s="16"/>
      <c r="C38" s="19"/>
      <c r="D38" s="19"/>
      <c r="E38" s="19"/>
    </row>
    <row r="39" spans="1:5" s="3" customFormat="1" ht="21.95" customHeight="1" x14ac:dyDescent="0.3">
      <c r="A39" s="4" t="s">
        <v>11</v>
      </c>
      <c r="B39" s="16"/>
      <c r="C39" s="17">
        <f>C36-C37-C38</f>
        <v>38666</v>
      </c>
      <c r="D39" s="17">
        <f>D36-D37</f>
        <v>10195</v>
      </c>
      <c r="E39" s="17" t="e">
        <f>SUM(#REF!)</f>
        <v>#REF!</v>
      </c>
    </row>
    <row r="40" spans="1:5" s="3" customFormat="1" ht="17.25" x14ac:dyDescent="0.3">
      <c r="A40" s="15"/>
      <c r="B40" s="16"/>
      <c r="C40" s="18"/>
      <c r="D40" s="18"/>
      <c r="E40" s="18"/>
    </row>
    <row r="41" spans="1:5" s="3" customFormat="1" ht="18" thickBot="1" x14ac:dyDescent="0.35">
      <c r="A41" s="4" t="s">
        <v>12</v>
      </c>
      <c r="B41" s="16"/>
      <c r="C41" s="23">
        <f>C32+C39</f>
        <v>-130088</v>
      </c>
      <c r="D41" s="23">
        <f>D32+D39</f>
        <v>451905</v>
      </c>
      <c r="E41" s="23" t="e">
        <f>E32+E39</f>
        <v>#REF!</v>
      </c>
    </row>
    <row r="42" spans="1:5" s="3" customFormat="1" ht="18" thickTop="1" x14ac:dyDescent="0.3">
      <c r="A42" s="15"/>
      <c r="B42" s="16"/>
      <c r="C42" s="24"/>
      <c r="D42" s="24"/>
      <c r="E42" s="24"/>
    </row>
    <row r="43" spans="1:5" s="3" customFormat="1" ht="21.95" customHeight="1" x14ac:dyDescent="0.3">
      <c r="A43" s="15"/>
      <c r="B43" s="16"/>
      <c r="C43" s="24"/>
      <c r="D43" s="24"/>
      <c r="E43" s="24"/>
    </row>
    <row r="44" spans="1:5" s="3" customFormat="1" ht="17.25" x14ac:dyDescent="0.3">
      <c r="A44" s="4" t="s">
        <v>13</v>
      </c>
      <c r="B44" s="25"/>
      <c r="C44" s="26"/>
      <c r="D44" s="26"/>
      <c r="E44" s="26"/>
    </row>
    <row r="45" spans="1:5" s="3" customFormat="1" ht="17.25" x14ac:dyDescent="0.3">
      <c r="A45" s="15" t="s">
        <v>14</v>
      </c>
      <c r="B45" s="16"/>
      <c r="C45" s="27">
        <f>C41</f>
        <v>-130088</v>
      </c>
      <c r="D45" s="27">
        <v>451905</v>
      </c>
      <c r="E45" s="27" t="e">
        <f>E41</f>
        <v>#REF!</v>
      </c>
    </row>
    <row r="46" spans="1:5" s="3" customFormat="1" ht="18.95" customHeight="1" thickBot="1" x14ac:dyDescent="0.35">
      <c r="A46" s="4" t="s">
        <v>15</v>
      </c>
      <c r="B46" s="16"/>
      <c r="C46" s="23">
        <f>C41</f>
        <v>-130088</v>
      </c>
      <c r="D46" s="23">
        <f>D45</f>
        <v>451905</v>
      </c>
      <c r="E46" s="23" t="e">
        <f>E41</f>
        <v>#REF!</v>
      </c>
    </row>
    <row r="47" spans="1:5" s="3" customFormat="1" ht="18.95" customHeight="1" thickTop="1" x14ac:dyDescent="0.3">
      <c r="A47" s="4"/>
      <c r="B47" s="16"/>
      <c r="C47" s="28"/>
      <c r="D47" s="28"/>
      <c r="E47" s="29"/>
    </row>
    <row r="48" spans="1:5" s="3" customFormat="1" ht="18.95" customHeight="1" x14ac:dyDescent="0.3">
      <c r="A48" s="4"/>
      <c r="B48" s="16"/>
      <c r="C48" s="28"/>
      <c r="D48" s="28"/>
      <c r="E48" s="29"/>
    </row>
    <row r="49" spans="1:6" s="3" customFormat="1" ht="30" customHeight="1" x14ac:dyDescent="0.4">
      <c r="A49" s="1" t="str">
        <f>A1</f>
        <v>Otta Idrettslag - med undergrupper</v>
      </c>
      <c r="B49" s="116"/>
      <c r="C49" s="28"/>
      <c r="D49" s="28"/>
      <c r="E49" s="29"/>
    </row>
    <row r="50" spans="1:6" s="3" customFormat="1" ht="30" customHeight="1" x14ac:dyDescent="0.4">
      <c r="A50" s="1"/>
      <c r="B50" s="144"/>
      <c r="C50" s="145"/>
      <c r="D50" s="145"/>
      <c r="E50" s="145"/>
      <c r="F50" s="146"/>
    </row>
    <row r="51" spans="1:6" s="3" customFormat="1" x14ac:dyDescent="0.2">
      <c r="A51" s="15"/>
      <c r="B51" s="5"/>
      <c r="C51" s="14"/>
      <c r="D51" s="14"/>
      <c r="E51" s="14"/>
    </row>
    <row r="52" spans="1:6" s="3" customFormat="1" x14ac:dyDescent="0.2">
      <c r="A52" s="4" t="s">
        <v>16</v>
      </c>
      <c r="B52" s="5"/>
      <c r="C52" s="30"/>
      <c r="D52" s="30"/>
      <c r="E52" s="30"/>
    </row>
    <row r="53" spans="1:6" s="3" customFormat="1" x14ac:dyDescent="0.2">
      <c r="A53" s="31"/>
      <c r="B53" s="32"/>
      <c r="C53" s="136">
        <f>C4</f>
        <v>2023</v>
      </c>
      <c r="D53" s="136">
        <f>D4</f>
        <v>2022</v>
      </c>
      <c r="E53" s="34"/>
    </row>
    <row r="54" spans="1:6" s="3" customFormat="1" ht="15.75" x14ac:dyDescent="0.25">
      <c r="A54" s="83" t="s">
        <v>17</v>
      </c>
      <c r="B54" s="36" t="s">
        <v>4</v>
      </c>
      <c r="C54" s="37"/>
      <c r="D54" s="37"/>
      <c r="E54" s="38"/>
    </row>
    <row r="55" spans="1:6" s="3" customFormat="1" ht="8.1" customHeight="1" x14ac:dyDescent="0.25">
      <c r="A55" s="39"/>
      <c r="B55" s="40"/>
      <c r="C55" s="38"/>
      <c r="D55" s="38"/>
      <c r="E55" s="38"/>
    </row>
    <row r="56" spans="1:6" s="3" customFormat="1" ht="15.75" x14ac:dyDescent="0.25">
      <c r="A56" s="4" t="s">
        <v>174</v>
      </c>
      <c r="B56" s="16"/>
      <c r="C56" s="42"/>
      <c r="D56" s="42"/>
      <c r="E56" s="42"/>
    </row>
    <row r="57" spans="1:6" s="3" customFormat="1" ht="14.1" customHeight="1" x14ac:dyDescent="0.3">
      <c r="A57" s="15"/>
      <c r="B57" s="16"/>
      <c r="C57" s="28"/>
      <c r="D57" s="28"/>
      <c r="E57" s="28"/>
    </row>
    <row r="58" spans="1:6" s="3" customFormat="1" ht="15.75" x14ac:dyDescent="0.25">
      <c r="A58" s="70" t="s">
        <v>93</v>
      </c>
      <c r="B58" s="16"/>
      <c r="C58" s="41"/>
      <c r="D58" s="41"/>
      <c r="E58" s="42"/>
    </row>
    <row r="59" spans="1:6" s="3" customFormat="1" ht="17.25" x14ac:dyDescent="0.3">
      <c r="A59" s="68" t="s">
        <v>66</v>
      </c>
      <c r="B59" s="16">
        <v>1</v>
      </c>
      <c r="C59" s="19">
        <f>'Undergrupper 2023'!C59</f>
        <v>1357100</v>
      </c>
      <c r="D59" s="19">
        <v>1583800</v>
      </c>
      <c r="E59" s="24"/>
    </row>
    <row r="60" spans="1:6" s="3" customFormat="1" ht="17.25" x14ac:dyDescent="0.3">
      <c r="A60" s="68" t="s">
        <v>67</v>
      </c>
      <c r="B60" s="16">
        <v>1</v>
      </c>
      <c r="C60" s="19">
        <f>'Undergrupper 2023'!C60</f>
        <v>294800</v>
      </c>
      <c r="D60" s="24">
        <v>139700</v>
      </c>
      <c r="E60" s="24"/>
    </row>
    <row r="61" spans="1:6" s="3" customFormat="1" ht="17.25" x14ac:dyDescent="0.3">
      <c r="A61" s="4" t="s">
        <v>19</v>
      </c>
      <c r="B61" s="16"/>
      <c r="C61" s="28">
        <f>SUM(C59:C60)</f>
        <v>1651900</v>
      </c>
      <c r="D61" s="28">
        <f>SUM(D59:D60)</f>
        <v>1723500</v>
      </c>
      <c r="E61" s="28"/>
    </row>
    <row r="62" spans="1:6" s="3" customFormat="1" ht="17.25" hidden="1" x14ac:dyDescent="0.3">
      <c r="A62" s="4"/>
      <c r="B62" s="16"/>
      <c r="C62" s="28"/>
      <c r="D62" s="28"/>
      <c r="E62" s="28"/>
    </row>
    <row r="63" spans="1:6" s="3" customFormat="1" ht="17.25" hidden="1" x14ac:dyDescent="0.3">
      <c r="A63" s="70" t="s">
        <v>71</v>
      </c>
      <c r="B63" s="16"/>
      <c r="C63" s="19"/>
      <c r="D63" s="19"/>
      <c r="E63" s="28"/>
    </row>
    <row r="64" spans="1:6" s="3" customFormat="1" ht="17.25" hidden="1" x14ac:dyDescent="0.3">
      <c r="A64" s="68" t="s">
        <v>72</v>
      </c>
      <c r="B64" s="16">
        <v>1</v>
      </c>
      <c r="C64" s="19">
        <f>'Undergrupper 2012'!C64</f>
        <v>0</v>
      </c>
      <c r="D64" s="19">
        <v>0</v>
      </c>
      <c r="E64" s="28"/>
    </row>
    <row r="65" spans="1:5" s="3" customFormat="1" ht="17.25" hidden="1" x14ac:dyDescent="0.3">
      <c r="A65" s="71" t="s">
        <v>73</v>
      </c>
      <c r="B65" s="16"/>
      <c r="C65" s="79">
        <f>SUM(C64)</f>
        <v>0</v>
      </c>
      <c r="D65" s="79">
        <v>0</v>
      </c>
      <c r="E65" s="28"/>
    </row>
    <row r="66" spans="1:5" s="3" customFormat="1" ht="6" customHeight="1" x14ac:dyDescent="0.3">
      <c r="A66" s="71"/>
      <c r="B66" s="16"/>
      <c r="C66" s="79"/>
      <c r="D66" s="79"/>
      <c r="E66" s="28"/>
    </row>
    <row r="67" spans="1:5" s="3" customFormat="1" ht="18.95" customHeight="1" x14ac:dyDescent="0.3">
      <c r="A67" s="70" t="s">
        <v>68</v>
      </c>
      <c r="B67" s="16"/>
      <c r="C67" s="72">
        <f>C61+C65</f>
        <v>1651900</v>
      </c>
      <c r="D67" s="72">
        <f>D61</f>
        <v>1723500</v>
      </c>
      <c r="E67" s="28"/>
    </row>
    <row r="68" spans="1:5" s="3" customFormat="1" ht="18.95" customHeight="1" x14ac:dyDescent="0.3">
      <c r="A68" s="70"/>
      <c r="B68" s="16"/>
      <c r="C68" s="28"/>
      <c r="D68" s="28"/>
      <c r="E68" s="28"/>
    </row>
    <row r="69" spans="1:5" s="3" customFormat="1" ht="17.25" x14ac:dyDescent="0.3">
      <c r="A69" s="4" t="s">
        <v>20</v>
      </c>
      <c r="B69" s="16"/>
      <c r="C69" s="43"/>
      <c r="D69" s="43"/>
      <c r="E69" s="44"/>
    </row>
    <row r="70" spans="1:5" s="3" customFormat="1" ht="17.25" x14ac:dyDescent="0.3">
      <c r="A70" s="15" t="s">
        <v>21</v>
      </c>
      <c r="B70" s="16"/>
      <c r="C70" s="27">
        <f>'Undergrupper 2023'!C69</f>
        <v>0</v>
      </c>
      <c r="D70" s="27">
        <v>0</v>
      </c>
      <c r="E70" s="45"/>
    </row>
    <row r="71" spans="1:5" s="3" customFormat="1" ht="17.25" x14ac:dyDescent="0.3">
      <c r="A71" s="15" t="s">
        <v>22</v>
      </c>
      <c r="B71" s="16">
        <v>1</v>
      </c>
      <c r="C71" s="27">
        <f>'Undergrupper 2023'!C70</f>
        <v>56250</v>
      </c>
      <c r="D71" s="27">
        <v>66114</v>
      </c>
      <c r="E71" s="24"/>
    </row>
    <row r="72" spans="1:5" s="3" customFormat="1" ht="17.25" x14ac:dyDescent="0.3">
      <c r="A72" s="15" t="s">
        <v>23</v>
      </c>
      <c r="B72" s="16"/>
      <c r="C72" s="27">
        <f>'Undergrupper 2023'!C71</f>
        <v>130907.9</v>
      </c>
      <c r="D72" s="27">
        <v>60894</v>
      </c>
      <c r="E72" s="24"/>
    </row>
    <row r="73" spans="1:5" s="3" customFormat="1" ht="17.25" x14ac:dyDescent="0.3">
      <c r="A73" s="15" t="s">
        <v>24</v>
      </c>
      <c r="B73" s="16"/>
      <c r="C73" s="27">
        <f>'Undergrupper 2023'!C72</f>
        <v>2960906</v>
      </c>
      <c r="D73" s="27">
        <v>3030952</v>
      </c>
      <c r="E73" s="24"/>
    </row>
    <row r="74" spans="1:5" s="3" customFormat="1" ht="18.95" customHeight="1" x14ac:dyDescent="0.3">
      <c r="A74" s="4" t="s">
        <v>25</v>
      </c>
      <c r="B74" s="16"/>
      <c r="C74" s="17">
        <f>SUM(C70:C73)</f>
        <v>3148063.9</v>
      </c>
      <c r="D74" s="17">
        <f>SUM(D70:D73)</f>
        <v>3157960</v>
      </c>
      <c r="E74" s="28"/>
    </row>
    <row r="75" spans="1:5" s="3" customFormat="1" ht="18.95" customHeight="1" thickBot="1" x14ac:dyDescent="0.35">
      <c r="A75" s="70" t="s">
        <v>69</v>
      </c>
      <c r="B75" s="16"/>
      <c r="C75" s="17">
        <f>C74+C67</f>
        <v>4799963.9000000004</v>
      </c>
      <c r="D75" s="119">
        <f>D67+D74</f>
        <v>4881460</v>
      </c>
      <c r="E75" s="28"/>
    </row>
    <row r="76" spans="1:5" s="3" customFormat="1" ht="18" thickTop="1" x14ac:dyDescent="0.3">
      <c r="A76" s="15" t="s">
        <v>1</v>
      </c>
      <c r="B76" s="16"/>
      <c r="C76" s="46"/>
      <c r="D76" s="24"/>
      <c r="E76" s="24"/>
    </row>
    <row r="77" spans="1:5" s="3" customFormat="1" ht="30" customHeight="1" x14ac:dyDescent="0.4">
      <c r="A77" s="1" t="str">
        <f>A1</f>
        <v>Otta Idrettslag - med undergrupper</v>
      </c>
      <c r="B77" s="116"/>
      <c r="C77" s="28"/>
      <c r="D77" s="28"/>
      <c r="E77" s="29"/>
    </row>
    <row r="78" spans="1:5" s="3" customFormat="1" x14ac:dyDescent="0.2">
      <c r="A78" s="4"/>
      <c r="B78" s="114"/>
      <c r="C78" s="30"/>
      <c r="D78" s="30"/>
      <c r="E78" s="30"/>
    </row>
    <row r="79" spans="1:5" s="3" customFormat="1" x14ac:dyDescent="0.2">
      <c r="A79" s="117"/>
      <c r="B79" s="118"/>
      <c r="C79" s="135">
        <f>C4</f>
        <v>2023</v>
      </c>
      <c r="D79" s="135">
        <f>D4</f>
        <v>2022</v>
      </c>
      <c r="E79" s="34"/>
    </row>
    <row r="80" spans="1:5" s="3" customFormat="1" ht="17.25" x14ac:dyDescent="0.3">
      <c r="A80" s="15"/>
      <c r="B80" s="36" t="s">
        <v>4</v>
      </c>
      <c r="C80" s="24"/>
      <c r="D80" s="24"/>
      <c r="E80" s="24"/>
    </row>
    <row r="81" spans="1:8" s="3" customFormat="1" ht="17.25" x14ac:dyDescent="0.3">
      <c r="A81" s="4" t="s">
        <v>26</v>
      </c>
      <c r="B81" s="16"/>
      <c r="C81" s="19"/>
      <c r="D81" s="19"/>
      <c r="E81" s="24"/>
    </row>
    <row r="82" spans="1:8" s="3" customFormat="1" ht="7.5" customHeight="1" x14ac:dyDescent="0.3">
      <c r="A82" s="4"/>
      <c r="B82" s="16"/>
      <c r="C82" s="19"/>
      <c r="D82" s="19"/>
      <c r="E82" s="24"/>
    </row>
    <row r="83" spans="1:8" s="3" customFormat="1" ht="17.25" x14ac:dyDescent="0.3">
      <c r="A83" s="4" t="s">
        <v>27</v>
      </c>
      <c r="B83" s="25"/>
      <c r="C83" s="47"/>
      <c r="D83" s="47"/>
      <c r="E83" s="48"/>
    </row>
    <row r="84" spans="1:8" s="3" customFormat="1" ht="17.25" hidden="1" x14ac:dyDescent="0.3">
      <c r="A84" s="4" t="s">
        <v>28</v>
      </c>
      <c r="B84" s="16"/>
      <c r="C84" s="19"/>
      <c r="D84" s="19"/>
      <c r="E84" s="24"/>
    </row>
    <row r="85" spans="1:8" s="3" customFormat="1" ht="17.25" hidden="1" x14ac:dyDescent="0.3">
      <c r="A85" s="15" t="s">
        <v>29</v>
      </c>
      <c r="B85" s="16"/>
      <c r="C85" s="19">
        <v>0</v>
      </c>
      <c r="D85" s="19"/>
      <c r="E85" s="24"/>
    </row>
    <row r="86" spans="1:8" s="3" customFormat="1" ht="17.25" hidden="1" x14ac:dyDescent="0.3">
      <c r="A86" s="4" t="s">
        <v>30</v>
      </c>
      <c r="B86" s="16"/>
      <c r="C86" s="18">
        <f>C85</f>
        <v>0</v>
      </c>
      <c r="D86" s="18"/>
      <c r="E86" s="24"/>
    </row>
    <row r="87" spans="1:8" s="3" customFormat="1" ht="9.9499999999999993" customHeight="1" x14ac:dyDescent="0.3">
      <c r="A87" s="15"/>
      <c r="B87" s="16"/>
      <c r="C87" s="19"/>
      <c r="D87" s="19"/>
      <c r="E87" s="24"/>
    </row>
    <row r="88" spans="1:8" s="3" customFormat="1" ht="17.25" x14ac:dyDescent="0.3">
      <c r="A88" s="15" t="s">
        <v>31</v>
      </c>
      <c r="B88" s="16"/>
      <c r="C88" s="19">
        <f>'Undergrupper 2023'!C83</f>
        <v>4393435</v>
      </c>
      <c r="D88" s="19">
        <v>4523523</v>
      </c>
      <c r="E88" s="24"/>
      <c r="F88" s="51"/>
      <c r="G88" s="51">
        <f>C88-D88</f>
        <v>-130088</v>
      </c>
      <c r="H88" s="51">
        <f>G88-C46</f>
        <v>0</v>
      </c>
    </row>
    <row r="89" spans="1:8" s="3" customFormat="1" ht="18.95" customHeight="1" x14ac:dyDescent="0.3">
      <c r="A89" s="4" t="s">
        <v>32</v>
      </c>
      <c r="B89" s="16"/>
      <c r="C89" s="17">
        <f>C88</f>
        <v>4393435</v>
      </c>
      <c r="D89" s="17">
        <f>SUM(D88)</f>
        <v>4523523</v>
      </c>
      <c r="E89" s="28"/>
      <c r="G89" s="51"/>
      <c r="H89" s="51"/>
    </row>
    <row r="90" spans="1:8" s="3" customFormat="1" ht="23.25" customHeight="1" x14ac:dyDescent="0.3">
      <c r="A90" s="4"/>
      <c r="B90" s="16"/>
      <c r="C90" s="17"/>
      <c r="D90" s="17"/>
      <c r="E90" s="28"/>
    </row>
    <row r="91" spans="1:8" s="3" customFormat="1" ht="17.25" x14ac:dyDescent="0.3">
      <c r="A91" s="4" t="s">
        <v>33</v>
      </c>
      <c r="B91" s="16"/>
      <c r="C91" s="28"/>
      <c r="D91" s="28"/>
      <c r="E91" s="28"/>
    </row>
    <row r="92" spans="1:8" s="3" customFormat="1" ht="17.25" x14ac:dyDescent="0.3">
      <c r="A92" s="70" t="s">
        <v>78</v>
      </c>
      <c r="B92" s="16"/>
      <c r="C92" s="21"/>
      <c r="D92" s="21"/>
      <c r="E92" s="28"/>
    </row>
    <row r="93" spans="1:8" s="3" customFormat="1" ht="17.25" x14ac:dyDescent="0.3">
      <c r="A93" s="15" t="s">
        <v>34</v>
      </c>
      <c r="B93" s="16">
        <v>1</v>
      </c>
      <c r="C93" s="80">
        <f>'Undergrupper 2023'!C88</f>
        <v>0</v>
      </c>
      <c r="D93" s="80">
        <v>0</v>
      </c>
      <c r="E93" s="28"/>
    </row>
    <row r="94" spans="1:8" s="3" customFormat="1" ht="17.25" x14ac:dyDescent="0.3">
      <c r="A94" s="70" t="s">
        <v>77</v>
      </c>
      <c r="B94" s="16"/>
      <c r="C94" s="21">
        <f>SUM(C93)</f>
        <v>0</v>
      </c>
      <c r="D94" s="21">
        <f>SUM(D93)</f>
        <v>0</v>
      </c>
      <c r="E94" s="28"/>
    </row>
    <row r="95" spans="1:8" s="3" customFormat="1" ht="11.1" customHeight="1" x14ac:dyDescent="0.3">
      <c r="A95" s="15"/>
      <c r="B95" s="16"/>
      <c r="C95" s="24"/>
      <c r="D95" s="24"/>
      <c r="E95" s="24"/>
    </row>
    <row r="96" spans="1:8" s="3" customFormat="1" ht="17.25" x14ac:dyDescent="0.3">
      <c r="A96" s="70" t="s">
        <v>79</v>
      </c>
      <c r="B96" s="16"/>
      <c r="C96" s="19"/>
      <c r="D96" s="19"/>
      <c r="E96" s="24"/>
    </row>
    <row r="97" spans="1:12" s="3" customFormat="1" ht="17.25" x14ac:dyDescent="0.3">
      <c r="A97" s="68" t="s">
        <v>75</v>
      </c>
      <c r="B97" s="16"/>
      <c r="C97" s="19">
        <f>'Undergrupper 2023'!C92</f>
        <v>0</v>
      </c>
      <c r="D97" s="19">
        <v>0</v>
      </c>
      <c r="E97" s="24"/>
    </row>
    <row r="98" spans="1:12" s="3" customFormat="1" ht="17.25" x14ac:dyDescent="0.3">
      <c r="A98" s="15" t="s">
        <v>35</v>
      </c>
      <c r="B98" s="16"/>
      <c r="C98" s="19">
        <f>'Undergrupper 2023'!C93</f>
        <v>165570</v>
      </c>
      <c r="D98" s="19">
        <v>103250</v>
      </c>
      <c r="E98" s="24"/>
    </row>
    <row r="99" spans="1:12" s="3" customFormat="1" ht="17.25" x14ac:dyDescent="0.3">
      <c r="A99" s="68" t="s">
        <v>76</v>
      </c>
      <c r="B99" s="16"/>
      <c r="C99" s="19">
        <f>'Undergrupper 2023'!C94</f>
        <v>40374</v>
      </c>
      <c r="D99" s="19">
        <v>26246</v>
      </c>
      <c r="E99" s="24"/>
    </row>
    <row r="100" spans="1:12" s="3" customFormat="1" ht="18.95" customHeight="1" x14ac:dyDescent="0.3">
      <c r="A100" s="68" t="s">
        <v>36</v>
      </c>
      <c r="B100" s="16"/>
      <c r="C100" s="19">
        <f>'Undergrupper 2023'!C95+2</f>
        <v>200584.5</v>
      </c>
      <c r="D100" s="19">
        <v>228441</v>
      </c>
      <c r="E100" s="45"/>
    </row>
    <row r="101" spans="1:12" s="3" customFormat="1" ht="18.95" customHeight="1" x14ac:dyDescent="0.3">
      <c r="A101" s="70" t="s">
        <v>80</v>
      </c>
      <c r="B101" s="16">
        <v>1</v>
      </c>
      <c r="C101" s="81">
        <f>SUM(C97:C100)</f>
        <v>406528.5</v>
      </c>
      <c r="D101" s="81">
        <f>SUM(D97:D100)</f>
        <v>357937</v>
      </c>
      <c r="E101" s="45"/>
    </row>
    <row r="102" spans="1:12" s="3" customFormat="1" ht="18.95" customHeight="1" x14ac:dyDescent="0.3">
      <c r="A102" s="70" t="s">
        <v>81</v>
      </c>
      <c r="B102" s="16"/>
      <c r="C102" s="28">
        <f>C94+C101</f>
        <v>406528.5</v>
      </c>
      <c r="D102" s="28">
        <f>D94+D101</f>
        <v>357937</v>
      </c>
      <c r="E102" s="28"/>
    </row>
    <row r="103" spans="1:12" s="3" customFormat="1" ht="18.95" customHeight="1" x14ac:dyDescent="0.3">
      <c r="A103" s="4"/>
      <c r="B103" s="16"/>
      <c r="C103" s="28"/>
      <c r="D103" s="28"/>
      <c r="E103" s="28"/>
    </row>
    <row r="104" spans="1:12" s="3" customFormat="1" ht="18.95" customHeight="1" thickBot="1" x14ac:dyDescent="0.35">
      <c r="A104" s="70" t="s">
        <v>94</v>
      </c>
      <c r="B104" s="16"/>
      <c r="C104" s="17">
        <f>C89+C94+C101</f>
        <v>4799963.5</v>
      </c>
      <c r="D104" s="17">
        <f>D102+D89</f>
        <v>4881460</v>
      </c>
      <c r="E104" s="28"/>
      <c r="F104" s="51">
        <f>C75-C104</f>
        <v>0.40000000037252903</v>
      </c>
      <c r="G104" s="51">
        <f>D75-D104</f>
        <v>0</v>
      </c>
      <c r="H104" s="51"/>
      <c r="I104" s="51"/>
    </row>
    <row r="105" spans="1:12" s="3" customFormat="1" ht="13.5" thickTop="1" x14ac:dyDescent="0.2">
      <c r="C105" s="49"/>
      <c r="D105" s="49"/>
      <c r="E105" s="50"/>
    </row>
    <row r="106" spans="1:12" s="3" customFormat="1" x14ac:dyDescent="0.2">
      <c r="C106" s="50"/>
      <c r="D106" s="50"/>
      <c r="E106" s="50"/>
      <c r="J106" s="125"/>
      <c r="K106" s="124"/>
      <c r="L106" s="125"/>
    </row>
    <row r="107" spans="1:12" s="3" customFormat="1" x14ac:dyDescent="0.2">
      <c r="A107" s="157" t="s">
        <v>185</v>
      </c>
      <c r="B107" s="158"/>
      <c r="C107" s="158"/>
      <c r="D107" s="158"/>
      <c r="E107" s="53"/>
      <c r="J107" s="125"/>
      <c r="K107" s="124"/>
      <c r="L107" s="125"/>
    </row>
    <row r="108" spans="1:12" s="3" customFormat="1" ht="7.5" customHeight="1" x14ac:dyDescent="0.2">
      <c r="A108" s="54"/>
      <c r="B108" s="55"/>
      <c r="C108" s="55"/>
      <c r="D108" s="55"/>
      <c r="E108" s="53"/>
      <c r="J108" s="124"/>
      <c r="K108" s="124"/>
      <c r="L108" s="124"/>
    </row>
    <row r="109" spans="1:12" s="3" customFormat="1" x14ac:dyDescent="0.2">
      <c r="A109" s="159" t="s">
        <v>186</v>
      </c>
      <c r="B109" s="159"/>
      <c r="C109" s="159"/>
      <c r="D109" s="159"/>
      <c r="E109" s="53"/>
      <c r="J109" s="124"/>
      <c r="K109" s="124"/>
      <c r="L109" s="124"/>
    </row>
    <row r="110" spans="1:12" s="3" customFormat="1" x14ac:dyDescent="0.2">
      <c r="A110" s="15"/>
      <c r="B110" s="5"/>
      <c r="C110" s="5"/>
      <c r="D110" s="115"/>
      <c r="E110" s="56"/>
      <c r="J110" s="124"/>
      <c r="K110" s="124"/>
      <c r="L110" s="124"/>
    </row>
    <row r="111" spans="1:12" s="3" customFormat="1" x14ac:dyDescent="0.2">
      <c r="A111" s="15"/>
      <c r="B111" s="122"/>
      <c r="C111" s="122"/>
      <c r="D111" s="122"/>
      <c r="E111" s="56"/>
      <c r="J111" s="124"/>
      <c r="K111" s="124"/>
      <c r="L111" s="124"/>
    </row>
    <row r="112" spans="1:12" s="3" customFormat="1" x14ac:dyDescent="0.2">
      <c r="A112" s="12"/>
      <c r="B112" s="122"/>
      <c r="C112" s="56"/>
      <c r="D112" s="122"/>
      <c r="E112" s="56"/>
      <c r="J112" s="124"/>
      <c r="K112" s="124"/>
      <c r="L112" s="124"/>
    </row>
    <row r="113" spans="1:12" s="3" customFormat="1" ht="21" customHeight="1" x14ac:dyDescent="0.2">
      <c r="A113" s="125" t="s">
        <v>168</v>
      </c>
      <c r="B113" s="124" t="s">
        <v>167</v>
      </c>
      <c r="C113" s="160" t="s">
        <v>169</v>
      </c>
      <c r="D113" s="158"/>
      <c r="E113" s="56"/>
      <c r="J113" s="124"/>
      <c r="K113" s="124"/>
      <c r="L113" s="124"/>
    </row>
    <row r="114" spans="1:12" s="3" customFormat="1" ht="13.5" customHeight="1" x14ac:dyDescent="0.2">
      <c r="A114" s="124" t="s">
        <v>170</v>
      </c>
      <c r="B114" s="124" t="s">
        <v>167</v>
      </c>
      <c r="C114" s="161" t="s">
        <v>152</v>
      </c>
      <c r="D114" s="158"/>
      <c r="E114" s="56"/>
    </row>
    <row r="115" spans="1:12" s="3" customFormat="1" x14ac:dyDescent="0.2">
      <c r="A115" s="124" t="s">
        <v>167</v>
      </c>
      <c r="B115" s="124" t="s">
        <v>167</v>
      </c>
      <c r="C115" s="124" t="s">
        <v>167</v>
      </c>
      <c r="D115"/>
      <c r="E115" s="12"/>
    </row>
    <row r="116" spans="1:12" s="3" customFormat="1" x14ac:dyDescent="0.2">
      <c r="A116" s="124" t="s">
        <v>167</v>
      </c>
      <c r="B116" s="124" t="s">
        <v>167</v>
      </c>
      <c r="C116" s="124" t="s">
        <v>167</v>
      </c>
      <c r="D116"/>
      <c r="E116" s="12"/>
    </row>
    <row r="117" spans="1:12" s="3" customFormat="1" x14ac:dyDescent="0.2">
      <c r="A117" s="125" t="s">
        <v>167</v>
      </c>
      <c r="B117" s="124" t="s">
        <v>167</v>
      </c>
      <c r="C117" s="125" t="s">
        <v>167</v>
      </c>
      <c r="D117" s="15"/>
      <c r="E117" s="12"/>
    </row>
    <row r="118" spans="1:12" s="3" customFormat="1" x14ac:dyDescent="0.2">
      <c r="A118" s="160" t="s">
        <v>182</v>
      </c>
      <c r="B118" s="158"/>
      <c r="C118" s="160"/>
      <c r="D118" s="158"/>
      <c r="E118" s="56"/>
    </row>
    <row r="119" spans="1:12" s="3" customFormat="1" x14ac:dyDescent="0.2">
      <c r="A119" s="161" t="s">
        <v>171</v>
      </c>
      <c r="B119" s="158"/>
      <c r="C119" s="161"/>
      <c r="D119" s="158"/>
      <c r="E119" s="56"/>
    </row>
    <row r="120" spans="1:12" s="3" customFormat="1" x14ac:dyDescent="0.2">
      <c r="A120" s="15"/>
      <c r="B120" s="5"/>
      <c r="C120" s="5"/>
      <c r="D120" s="115"/>
      <c r="E120" s="56"/>
    </row>
    <row r="121" spans="1:12" s="3" customFormat="1" x14ac:dyDescent="0.2">
      <c r="A121" s="15"/>
      <c r="B121" s="5"/>
      <c r="C121" s="5"/>
      <c r="D121" s="115"/>
      <c r="E121" s="56"/>
    </row>
    <row r="122" spans="1:12" s="3" customFormat="1" x14ac:dyDescent="0.2">
      <c r="A122" s="15"/>
      <c r="B122" s="5"/>
      <c r="C122" s="5"/>
      <c r="D122" s="115"/>
      <c r="E122" s="56"/>
    </row>
    <row r="123" spans="1:12" s="3" customFormat="1" ht="12.75" x14ac:dyDescent="0.2">
      <c r="B123" s="2"/>
      <c r="C123" s="2"/>
      <c r="D123" s="2"/>
      <c r="E123" s="57"/>
    </row>
    <row r="124" spans="1:12" s="3" customFormat="1" ht="12.75" x14ac:dyDescent="0.2">
      <c r="B124" s="2"/>
      <c r="C124" s="2"/>
      <c r="D124" s="2"/>
      <c r="E124" s="57"/>
    </row>
    <row r="125" spans="1:12" s="3" customFormat="1" ht="12.75" x14ac:dyDescent="0.2">
      <c r="B125" s="2"/>
      <c r="C125" s="2"/>
      <c r="D125" s="2"/>
      <c r="E125" s="57"/>
    </row>
    <row r="126" spans="1:12" s="3" customFormat="1" ht="12.75" x14ac:dyDescent="0.2">
      <c r="B126" s="2"/>
      <c r="C126" s="2"/>
      <c r="D126" s="2"/>
      <c r="E126" s="57"/>
    </row>
    <row r="127" spans="1:12" s="3" customFormat="1" ht="12.75" x14ac:dyDescent="0.2">
      <c r="B127" s="2"/>
      <c r="C127" s="2"/>
      <c r="D127" s="2"/>
      <c r="E127" s="57"/>
    </row>
    <row r="128" spans="1:12" s="3" customFormat="1" ht="12.75" x14ac:dyDescent="0.2">
      <c r="B128" s="2"/>
      <c r="C128" s="2"/>
      <c r="D128" s="2"/>
      <c r="E128" s="57"/>
    </row>
    <row r="129" spans="2:5" s="3" customFormat="1" ht="12.75" x14ac:dyDescent="0.2">
      <c r="B129" s="2"/>
      <c r="C129" s="2"/>
      <c r="D129" s="2"/>
      <c r="E129" s="57"/>
    </row>
    <row r="130" spans="2:5" s="3" customFormat="1" ht="12.75" x14ac:dyDescent="0.2">
      <c r="B130" s="2"/>
      <c r="C130" s="2"/>
      <c r="D130" s="2"/>
      <c r="E130" s="57"/>
    </row>
    <row r="131" spans="2:5" s="3" customFormat="1" ht="12.75" x14ac:dyDescent="0.2">
      <c r="B131" s="2"/>
      <c r="C131" s="2"/>
      <c r="D131" s="2"/>
      <c r="E131" s="57"/>
    </row>
    <row r="132" spans="2:5" s="3" customFormat="1" ht="12.75" x14ac:dyDescent="0.2">
      <c r="B132" s="2"/>
      <c r="C132" s="2"/>
      <c r="D132" s="2"/>
      <c r="E132" s="57"/>
    </row>
    <row r="133" spans="2:5" s="3" customFormat="1" ht="12.75" x14ac:dyDescent="0.2">
      <c r="B133" s="2"/>
      <c r="C133" s="2"/>
      <c r="D133" s="2"/>
      <c r="E133" s="57"/>
    </row>
    <row r="134" spans="2:5" s="3" customFormat="1" ht="12.75" x14ac:dyDescent="0.2">
      <c r="B134" s="2"/>
      <c r="C134" s="2"/>
      <c r="D134" s="2"/>
      <c r="E134" s="57"/>
    </row>
    <row r="135" spans="2:5" s="3" customFormat="1" ht="12.75" x14ac:dyDescent="0.2">
      <c r="B135" s="2"/>
      <c r="C135" s="2"/>
      <c r="D135" s="2"/>
      <c r="E135" s="57"/>
    </row>
    <row r="136" spans="2:5" s="3" customFormat="1" ht="12.75" x14ac:dyDescent="0.2">
      <c r="B136" s="2"/>
      <c r="C136" s="2"/>
      <c r="D136" s="2"/>
      <c r="E136" s="57"/>
    </row>
    <row r="137" spans="2:5" s="3" customFormat="1" ht="12.75" x14ac:dyDescent="0.2">
      <c r="B137" s="2"/>
      <c r="C137" s="2"/>
      <c r="D137" s="2"/>
      <c r="E137" s="57"/>
    </row>
    <row r="138" spans="2:5" s="3" customFormat="1" ht="12.75" x14ac:dyDescent="0.2">
      <c r="B138" s="2"/>
      <c r="C138" s="2"/>
      <c r="D138" s="2"/>
      <c r="E138" s="57"/>
    </row>
    <row r="139" spans="2:5" s="3" customFormat="1" ht="12.75" x14ac:dyDescent="0.2">
      <c r="B139" s="2"/>
      <c r="C139" s="2"/>
      <c r="D139" s="2"/>
      <c r="E139" s="2"/>
    </row>
    <row r="140" spans="2:5" s="3" customFormat="1" ht="12.75" x14ac:dyDescent="0.2">
      <c r="B140" s="2"/>
      <c r="C140" s="2"/>
      <c r="D140" s="2"/>
      <c r="E140" s="2"/>
    </row>
    <row r="141" spans="2:5" s="3" customFormat="1" ht="12.75" x14ac:dyDescent="0.2">
      <c r="B141" s="2"/>
      <c r="C141" s="2"/>
      <c r="D141" s="2"/>
      <c r="E141" s="2"/>
    </row>
    <row r="142" spans="2:5" s="3" customFormat="1" ht="12.75" x14ac:dyDescent="0.2">
      <c r="B142" s="2"/>
      <c r="C142" s="2"/>
      <c r="D142" s="2"/>
      <c r="E142" s="2"/>
    </row>
    <row r="143" spans="2:5" s="3" customFormat="1" ht="12.75" x14ac:dyDescent="0.2">
      <c r="B143" s="2"/>
      <c r="C143" s="2"/>
      <c r="D143" s="2"/>
      <c r="E143" s="2"/>
    </row>
    <row r="144" spans="2:5" s="3" customFormat="1" ht="12.75" x14ac:dyDescent="0.2">
      <c r="B144" s="2"/>
      <c r="C144" s="2"/>
      <c r="D144" s="2"/>
      <c r="E144" s="2"/>
    </row>
    <row r="145" spans="2:5" s="3" customFormat="1" ht="12.75" x14ac:dyDescent="0.2">
      <c r="B145" s="2"/>
      <c r="C145" s="2"/>
      <c r="D145" s="2"/>
      <c r="E145" s="2"/>
    </row>
    <row r="146" spans="2:5" s="3" customFormat="1" ht="12.75" x14ac:dyDescent="0.2">
      <c r="B146" s="2"/>
      <c r="C146" s="2"/>
      <c r="D146" s="2"/>
      <c r="E146" s="2"/>
    </row>
    <row r="147" spans="2:5" s="3" customFormat="1" ht="12.75" x14ac:dyDescent="0.2">
      <c r="B147" s="2"/>
      <c r="C147" s="2"/>
      <c r="D147" s="2"/>
      <c r="E147" s="2"/>
    </row>
    <row r="148" spans="2:5" s="3" customFormat="1" ht="12.75" x14ac:dyDescent="0.2">
      <c r="B148" s="2"/>
      <c r="C148" s="2"/>
      <c r="D148" s="2"/>
      <c r="E148" s="2"/>
    </row>
    <row r="149" spans="2:5" s="3" customFormat="1" ht="12.75" x14ac:dyDescent="0.2">
      <c r="B149" s="2"/>
      <c r="C149" s="2"/>
      <c r="D149" s="2"/>
      <c r="E149" s="2"/>
    </row>
    <row r="150" spans="2:5" s="3" customFormat="1" ht="12.75" x14ac:dyDescent="0.2">
      <c r="B150" s="2"/>
      <c r="C150" s="2"/>
      <c r="D150" s="2"/>
      <c r="E150" s="2"/>
    </row>
    <row r="151" spans="2:5" s="3" customFormat="1" ht="12.75" x14ac:dyDescent="0.2">
      <c r="B151" s="2"/>
      <c r="C151" s="2"/>
      <c r="D151" s="2"/>
      <c r="E151" s="2"/>
    </row>
    <row r="152" spans="2:5" s="3" customFormat="1" ht="12.75" x14ac:dyDescent="0.2">
      <c r="B152" s="2"/>
      <c r="C152" s="2"/>
      <c r="D152" s="2"/>
      <c r="E152" s="2"/>
    </row>
    <row r="153" spans="2:5" s="3" customFormat="1" ht="12.75" x14ac:dyDescent="0.2">
      <c r="B153" s="2"/>
      <c r="C153" s="2"/>
      <c r="D153" s="2"/>
      <c r="E153" s="2"/>
    </row>
    <row r="154" spans="2:5" s="3" customFormat="1" ht="12.75" x14ac:dyDescent="0.2">
      <c r="B154" s="2"/>
      <c r="C154" s="2"/>
      <c r="D154" s="2"/>
      <c r="E154" s="2"/>
    </row>
    <row r="155" spans="2:5" s="3" customFormat="1" ht="12.75" x14ac:dyDescent="0.2">
      <c r="B155" s="2"/>
      <c r="C155" s="2"/>
      <c r="D155" s="2"/>
      <c r="E155" s="2"/>
    </row>
    <row r="156" spans="2:5" s="3" customFormat="1" ht="12.75" x14ac:dyDescent="0.2">
      <c r="B156" s="2"/>
      <c r="C156" s="2"/>
      <c r="D156" s="2"/>
      <c r="E156" s="2"/>
    </row>
    <row r="157" spans="2:5" s="3" customFormat="1" ht="12.75" x14ac:dyDescent="0.2">
      <c r="B157" s="2"/>
      <c r="C157" s="2"/>
      <c r="D157" s="2"/>
      <c r="E157" s="2"/>
    </row>
    <row r="158" spans="2:5" s="3" customFormat="1" ht="12.75" x14ac:dyDescent="0.2">
      <c r="B158" s="2"/>
      <c r="C158" s="2"/>
      <c r="D158" s="2"/>
      <c r="E158" s="2"/>
    </row>
    <row r="159" spans="2:5" s="3" customFormat="1" ht="12.75" x14ac:dyDescent="0.2">
      <c r="B159" s="2"/>
      <c r="C159" s="2"/>
      <c r="D159" s="2"/>
      <c r="E159" s="2"/>
    </row>
    <row r="160" spans="2:5" s="3" customFormat="1" ht="12.75" x14ac:dyDescent="0.2">
      <c r="B160" s="2"/>
      <c r="C160" s="2"/>
      <c r="D160" s="2"/>
      <c r="E160" s="2"/>
    </row>
    <row r="161" spans="2:5" s="3" customFormat="1" ht="12.75" x14ac:dyDescent="0.2">
      <c r="B161" s="2"/>
      <c r="C161" s="2"/>
      <c r="D161" s="2"/>
      <c r="E161" s="2"/>
    </row>
    <row r="162" spans="2:5" s="3" customFormat="1" ht="12.75" x14ac:dyDescent="0.2">
      <c r="B162" s="2"/>
      <c r="C162" s="2"/>
      <c r="D162" s="2"/>
      <c r="E162" s="2"/>
    </row>
    <row r="163" spans="2:5" s="3" customFormat="1" ht="12.75" x14ac:dyDescent="0.2">
      <c r="B163" s="2"/>
      <c r="C163" s="2"/>
      <c r="D163" s="2"/>
      <c r="E163" s="2"/>
    </row>
    <row r="164" spans="2:5" s="3" customFormat="1" ht="12.75" x14ac:dyDescent="0.2">
      <c r="B164" s="2"/>
      <c r="C164" s="2"/>
      <c r="D164" s="2"/>
      <c r="E164" s="2"/>
    </row>
    <row r="165" spans="2:5" s="3" customFormat="1" ht="12.75" x14ac:dyDescent="0.2">
      <c r="B165" s="2"/>
      <c r="C165" s="2"/>
      <c r="D165" s="2"/>
      <c r="E165" s="2"/>
    </row>
    <row r="166" spans="2:5" s="3" customFormat="1" ht="12.75" x14ac:dyDescent="0.2">
      <c r="B166" s="2"/>
      <c r="C166" s="2"/>
      <c r="D166" s="2"/>
      <c r="E166" s="2"/>
    </row>
  </sheetData>
  <mergeCells count="8">
    <mergeCell ref="A107:D107"/>
    <mergeCell ref="A109:D109"/>
    <mergeCell ref="C118:D118"/>
    <mergeCell ref="C119:D119"/>
    <mergeCell ref="C114:D114"/>
    <mergeCell ref="C113:D113"/>
    <mergeCell ref="A118:B118"/>
    <mergeCell ref="A119:B119"/>
  </mergeCells>
  <printOptions horizontalCentered="1"/>
  <pageMargins left="0.19685039370078741" right="3.937007874015748E-2" top="1.1811023622047245" bottom="0.19685039370078741" header="0" footer="0"/>
  <pageSetup paperSize="9" scale="86" firstPageNumber="2" fitToHeight="2" orientation="portrait" horizontalDpi="1200" verticalDpi="1200" r:id="rId1"/>
  <headerFooter alignWithMargins="0"/>
  <rowBreaks count="2" manualBreakCount="2">
    <brk id="48" max="3" man="1"/>
    <brk id="76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A164"/>
  <sheetViews>
    <sheetView zoomScaleNormal="100" workbookViewId="0">
      <pane xSplit="2" ySplit="4" topLeftCell="C88" activePane="bottomRight" state="frozen"/>
      <selection pane="topRight" activeCell="C1" sqref="C1"/>
      <selection pane="bottomLeft" activeCell="A5" sqref="A5"/>
      <selection pane="bottomRight" activeCell="F103" sqref="F103"/>
    </sheetView>
  </sheetViews>
  <sheetFormatPr baseColWidth="10" defaultColWidth="12.42578125" defaultRowHeight="15" x14ac:dyDescent="0.2"/>
  <cols>
    <col min="1" max="1" width="44.7109375" style="3" customWidth="1"/>
    <col min="2" max="2" width="9" style="3" hidden="1" customWidth="1"/>
    <col min="3" max="3" width="16.28515625" style="3" customWidth="1"/>
    <col min="4" max="4" width="16.28515625" style="3" hidden="1" customWidth="1"/>
    <col min="5" max="5" width="12.42578125" style="3" customWidth="1"/>
    <col min="6" max="6" width="14.85546875" style="3" customWidth="1"/>
    <col min="7" max="7" width="15.85546875" style="3" customWidth="1"/>
    <col min="8" max="8" width="14.85546875" style="3" customWidth="1"/>
    <col min="9" max="9" width="15.5703125" style="3" bestFit="1" customWidth="1"/>
    <col min="10" max="10" width="15.85546875" style="3" customWidth="1"/>
    <col min="11" max="11" width="14" style="3" bestFit="1" customWidth="1"/>
    <col min="12" max="12" width="14.85546875" style="3" hidden="1" customWidth="1"/>
    <col min="13" max="13" width="10.85546875" style="3" hidden="1" customWidth="1"/>
    <col min="14" max="14" width="14.85546875" style="3" hidden="1" customWidth="1"/>
    <col min="15" max="15" width="14.85546875" style="3" customWidth="1"/>
    <col min="16" max="16" width="13" style="3" customWidth="1"/>
    <col min="17" max="17" width="14.85546875" style="3" customWidth="1"/>
    <col min="18" max="20" width="13.42578125" style="3" customWidth="1"/>
    <col min="21" max="21" width="13.42578125" style="3" bestFit="1" customWidth="1"/>
    <col min="22" max="22" width="10.85546875" style="3" bestFit="1" customWidth="1"/>
    <col min="23" max="23" width="13.42578125" style="3" bestFit="1" customWidth="1"/>
    <col min="24" max="24" width="12.5703125" style="3" bestFit="1" customWidth="1"/>
    <col min="25" max="25" width="10.85546875" style="3" bestFit="1" customWidth="1"/>
    <col min="26" max="26" width="12.5703125" style="3" bestFit="1" customWidth="1"/>
    <col min="27" max="27" width="11.5703125" style="3" bestFit="1" customWidth="1"/>
    <col min="28" max="28" width="10.85546875" style="3" bestFit="1" customWidth="1"/>
    <col min="29" max="29" width="16" style="3" customWidth="1"/>
    <col min="30" max="32" width="9" style="3" customWidth="1"/>
    <col min="33" max="41" width="9" style="3" hidden="1" customWidth="1"/>
    <col min="42" max="43" width="33" style="3" customWidth="1"/>
    <col min="44" max="235" width="12.42578125" style="3" customWidth="1"/>
    <col min="236" max="16384" width="12.42578125" style="58"/>
  </cols>
  <sheetData>
    <row r="1" spans="1:41" s="58" customFormat="1" ht="30" x14ac:dyDescent="0.4">
      <c r="A1" s="1" t="s">
        <v>39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 t="s">
        <v>176</v>
      </c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s="58" customFormat="1" ht="6.95" customHeight="1" x14ac:dyDescent="0.2">
      <c r="A2" s="3"/>
      <c r="B2" s="2"/>
      <c r="C2" s="2"/>
      <c r="D2" s="2"/>
      <c r="E2" s="3"/>
      <c r="F2" s="3"/>
      <c r="G2" s="3"/>
      <c r="H2" s="3"/>
      <c r="I2" s="3"/>
      <c r="J2" s="123"/>
      <c r="K2" s="3"/>
      <c r="L2" s="3"/>
      <c r="M2" s="3"/>
      <c r="N2" s="3"/>
      <c r="O2" s="3"/>
      <c r="P2" s="123"/>
      <c r="Q2" s="3"/>
      <c r="R2" s="3"/>
      <c r="S2" s="12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s="58" customFormat="1" x14ac:dyDescent="0.2">
      <c r="A3" s="4" t="s">
        <v>0</v>
      </c>
      <c r="B3" s="147"/>
      <c r="C3" s="147"/>
      <c r="D3" s="147"/>
      <c r="E3" s="3"/>
      <c r="F3" s="162" t="s">
        <v>41</v>
      </c>
      <c r="G3" s="162"/>
      <c r="H3" s="162"/>
      <c r="I3" s="163" t="s">
        <v>45</v>
      </c>
      <c r="J3" s="163"/>
      <c r="K3" s="163"/>
      <c r="L3" s="162" t="s">
        <v>172</v>
      </c>
      <c r="M3" s="162"/>
      <c r="N3" s="162"/>
      <c r="O3" s="163" t="s">
        <v>43</v>
      </c>
      <c r="P3" s="163"/>
      <c r="Q3" s="163"/>
      <c r="R3" s="162" t="s">
        <v>44</v>
      </c>
      <c r="S3" s="162"/>
      <c r="T3" s="162"/>
      <c r="U3" s="163" t="s">
        <v>51</v>
      </c>
      <c r="V3" s="163"/>
      <c r="W3" s="163"/>
      <c r="X3" s="162" t="s">
        <v>161</v>
      </c>
      <c r="Y3" s="162"/>
      <c r="Z3" s="162"/>
      <c r="AA3" s="163" t="s">
        <v>48</v>
      </c>
      <c r="AB3" s="163"/>
      <c r="AC3" s="163"/>
      <c r="AD3" s="162" t="s">
        <v>49</v>
      </c>
      <c r="AE3" s="162"/>
      <c r="AF3" s="162"/>
      <c r="AG3" s="163"/>
      <c r="AH3" s="163"/>
      <c r="AI3" s="163"/>
      <c r="AJ3" s="162"/>
      <c r="AK3" s="162"/>
      <c r="AL3" s="162"/>
      <c r="AM3" s="163"/>
      <c r="AN3" s="163"/>
      <c r="AO3" s="163"/>
    </row>
    <row r="4" spans="1:41" s="58" customFormat="1" x14ac:dyDescent="0.2">
      <c r="A4" s="6" t="s">
        <v>1</v>
      </c>
      <c r="B4" s="147"/>
      <c r="C4" s="7">
        <v>2017</v>
      </c>
      <c r="D4" s="8" t="s">
        <v>2</v>
      </c>
      <c r="E4" s="3"/>
      <c r="F4" s="62">
        <f>$C$4</f>
        <v>2017</v>
      </c>
      <c r="G4" s="63" t="s">
        <v>38</v>
      </c>
      <c r="H4" s="63" t="s">
        <v>40</v>
      </c>
      <c r="I4" s="61">
        <f>F4</f>
        <v>2017</v>
      </c>
      <c r="J4" s="60" t="s">
        <v>38</v>
      </c>
      <c r="K4" s="60" t="s">
        <v>40</v>
      </c>
      <c r="L4" s="62">
        <f>F4</f>
        <v>2017</v>
      </c>
      <c r="M4" s="63" t="s">
        <v>38</v>
      </c>
      <c r="N4" s="63" t="s">
        <v>40</v>
      </c>
      <c r="O4" s="61">
        <f>F4</f>
        <v>2017</v>
      </c>
      <c r="P4" s="60" t="s">
        <v>38</v>
      </c>
      <c r="Q4" s="60" t="s">
        <v>40</v>
      </c>
      <c r="R4" s="62">
        <f>F4</f>
        <v>2017</v>
      </c>
      <c r="S4" s="63" t="s">
        <v>38</v>
      </c>
      <c r="T4" s="63" t="s">
        <v>40</v>
      </c>
      <c r="U4" s="61">
        <f>F4</f>
        <v>2017</v>
      </c>
      <c r="V4" s="60" t="s">
        <v>38</v>
      </c>
      <c r="W4" s="60" t="s">
        <v>40</v>
      </c>
      <c r="X4" s="62">
        <f>F4</f>
        <v>2017</v>
      </c>
      <c r="Y4" s="63" t="s">
        <v>38</v>
      </c>
      <c r="Z4" s="63" t="s">
        <v>40</v>
      </c>
      <c r="AA4" s="61">
        <f>F4</f>
        <v>2017</v>
      </c>
      <c r="AB4" s="60" t="s">
        <v>38</v>
      </c>
      <c r="AC4" s="60" t="s">
        <v>40</v>
      </c>
      <c r="AD4" s="62">
        <f>F4</f>
        <v>2017</v>
      </c>
      <c r="AE4" s="63" t="s">
        <v>38</v>
      </c>
      <c r="AF4" s="63" t="s">
        <v>40</v>
      </c>
      <c r="AG4" s="61"/>
      <c r="AH4" s="60" t="s">
        <v>38</v>
      </c>
      <c r="AI4" s="60" t="s">
        <v>40</v>
      </c>
      <c r="AJ4" s="62"/>
      <c r="AK4" s="63" t="s">
        <v>38</v>
      </c>
      <c r="AL4" s="63" t="s">
        <v>40</v>
      </c>
      <c r="AM4" s="61"/>
      <c r="AN4" s="60" t="s">
        <v>38</v>
      </c>
      <c r="AO4" s="60" t="s">
        <v>40</v>
      </c>
    </row>
    <row r="5" spans="1:41" s="58" customFormat="1" ht="17.100000000000001" customHeight="1" x14ac:dyDescent="0.25">
      <c r="A5" s="9" t="s">
        <v>3</v>
      </c>
      <c r="B5" s="10" t="s">
        <v>4</v>
      </c>
      <c r="C5" s="11"/>
      <c r="D5" s="11" t="s">
        <v>2</v>
      </c>
      <c r="E5" s="3"/>
      <c r="F5" s="65"/>
      <c r="G5" s="65"/>
      <c r="H5" s="65"/>
      <c r="I5" s="66"/>
      <c r="J5" s="66"/>
      <c r="K5" s="66"/>
      <c r="L5" s="65"/>
      <c r="M5" s="65"/>
      <c r="N5" s="65"/>
      <c r="O5" s="66"/>
      <c r="P5" s="66"/>
      <c r="Q5" s="66"/>
      <c r="R5" s="65"/>
      <c r="S5" s="65"/>
      <c r="T5" s="65"/>
      <c r="U5" s="66"/>
      <c r="V5" s="66"/>
      <c r="W5" s="66"/>
      <c r="X5" s="65"/>
      <c r="Y5" s="65"/>
      <c r="Z5" s="65"/>
      <c r="AA5" s="66"/>
      <c r="AB5" s="66"/>
      <c r="AC5" s="66"/>
      <c r="AD5" s="65"/>
      <c r="AE5" s="65"/>
      <c r="AF5" s="65"/>
      <c r="AG5" s="66"/>
      <c r="AH5" s="66"/>
      <c r="AI5" s="66"/>
      <c r="AJ5" s="65"/>
      <c r="AK5" s="65"/>
      <c r="AL5" s="65"/>
      <c r="AM5" s="66"/>
      <c r="AN5" s="66"/>
      <c r="AO5" s="66"/>
    </row>
    <row r="6" spans="1:41" s="58" customFormat="1" ht="9" customHeight="1" x14ac:dyDescent="0.2">
      <c r="A6" s="12"/>
      <c r="B6" s="13"/>
      <c r="C6" s="12"/>
      <c r="D6" s="12"/>
      <c r="E6" s="3"/>
      <c r="F6" s="65"/>
      <c r="G6" s="65"/>
      <c r="H6" s="65"/>
      <c r="I6" s="66"/>
      <c r="J6" s="66"/>
      <c r="K6" s="66"/>
      <c r="L6" s="65"/>
      <c r="M6" s="65"/>
      <c r="N6" s="65"/>
      <c r="O6" s="66"/>
      <c r="P6" s="66"/>
      <c r="Q6" s="66"/>
      <c r="R6" s="65"/>
      <c r="S6" s="65"/>
      <c r="T6" s="65"/>
      <c r="U6" s="66"/>
      <c r="V6" s="66"/>
      <c r="W6" s="66"/>
      <c r="X6" s="65"/>
      <c r="Y6" s="65"/>
      <c r="Z6" s="65"/>
      <c r="AA6" s="66"/>
      <c r="AB6" s="66"/>
      <c r="AC6" s="66"/>
      <c r="AD6" s="65"/>
      <c r="AE6" s="65"/>
      <c r="AF6" s="65"/>
      <c r="AG6" s="66"/>
      <c r="AH6" s="66"/>
      <c r="AI6" s="66"/>
      <c r="AJ6" s="65"/>
      <c r="AK6" s="65"/>
      <c r="AL6" s="65"/>
      <c r="AM6" s="66"/>
      <c r="AN6" s="66"/>
      <c r="AO6" s="66"/>
    </row>
    <row r="7" spans="1:41" s="58" customFormat="1" ht="17.25" customHeight="1" x14ac:dyDescent="0.2">
      <c r="A7" s="64" t="s">
        <v>82</v>
      </c>
      <c r="B7" s="13"/>
      <c r="C7" s="14">
        <f>H7+K7+N7+Q7+T7+W7+Z7+AC7+AF7+AI7+AL7</f>
        <v>327211</v>
      </c>
      <c r="D7" s="14">
        <v>60000</v>
      </c>
      <c r="E7" s="3"/>
      <c r="F7" s="132">
        <v>0</v>
      </c>
      <c r="G7" s="65"/>
      <c r="H7" s="65">
        <f t="shared" ref="H7:H41" si="0">F7+G7</f>
        <v>0</v>
      </c>
      <c r="I7" s="132">
        <v>90207</v>
      </c>
      <c r="J7" s="66"/>
      <c r="K7" s="66">
        <f t="shared" ref="K7:K41" si="1">I7+J7</f>
        <v>90207</v>
      </c>
      <c r="L7" s="132"/>
      <c r="M7" s="65"/>
      <c r="N7" s="65">
        <f t="shared" ref="N7:N41" si="2">L7+M7</f>
        <v>0</v>
      </c>
      <c r="O7" s="132">
        <v>66178</v>
      </c>
      <c r="P7" s="66"/>
      <c r="Q7" s="66">
        <f t="shared" ref="Q7:Q41" si="3">O7+P7</f>
        <v>66178</v>
      </c>
      <c r="R7" s="132">
        <v>170826</v>
      </c>
      <c r="S7" s="65"/>
      <c r="T7" s="65">
        <f t="shared" ref="T7:T41" si="4">R7+S7</f>
        <v>170826</v>
      </c>
      <c r="U7" s="66"/>
      <c r="V7" s="66"/>
      <c r="W7" s="66">
        <f t="shared" ref="W7:W41" si="5">U7+V7</f>
        <v>0</v>
      </c>
      <c r="X7" s="65"/>
      <c r="Y7" s="65"/>
      <c r="Z7" s="65">
        <f t="shared" ref="Z7:Z41" si="6">X7+Y7</f>
        <v>0</v>
      </c>
      <c r="AA7" s="66"/>
      <c r="AB7" s="66"/>
      <c r="AC7" s="66">
        <f t="shared" ref="AC7:AC41" si="7">AA7+AB7</f>
        <v>0</v>
      </c>
      <c r="AD7" s="65"/>
      <c r="AE7" s="65"/>
      <c r="AF7" s="65">
        <f t="shared" ref="AF7:AF41" si="8">AD7+AE7</f>
        <v>0</v>
      </c>
      <c r="AG7" s="66"/>
      <c r="AH7" s="66"/>
      <c r="AI7" s="66">
        <f t="shared" ref="AI7:AI41" si="9">AG7+AH7</f>
        <v>0</v>
      </c>
      <c r="AJ7" s="65"/>
      <c r="AK7" s="65"/>
      <c r="AL7" s="65">
        <f t="shared" ref="AL7:AL41" si="10">AJ7+AK7</f>
        <v>0</v>
      </c>
      <c r="AM7" s="66"/>
      <c r="AN7" s="66"/>
      <c r="AO7" s="66">
        <f t="shared" ref="AO7" si="11">AM7+AN7</f>
        <v>0</v>
      </c>
    </row>
    <row r="8" spans="1:41" s="58" customFormat="1" ht="17.25" customHeight="1" x14ac:dyDescent="0.2">
      <c r="A8" s="64" t="s">
        <v>96</v>
      </c>
      <c r="B8" s="13"/>
      <c r="C8" s="14">
        <f t="shared" ref="C8:C10" si="12">H8+K8+N8+Q8+T8+W8+Z8+AC8+AF8+AI8+AL8</f>
        <v>150393</v>
      </c>
      <c r="D8" s="14"/>
      <c r="E8" s="3"/>
      <c r="F8" s="132"/>
      <c r="G8" s="65"/>
      <c r="H8" s="65">
        <f t="shared" si="0"/>
        <v>0</v>
      </c>
      <c r="I8" s="132">
        <v>71053</v>
      </c>
      <c r="J8" s="66"/>
      <c r="K8" s="66">
        <f t="shared" si="1"/>
        <v>71053</v>
      </c>
      <c r="L8" s="132"/>
      <c r="M8" s="65"/>
      <c r="N8" s="65">
        <f>L8+M8</f>
        <v>0</v>
      </c>
      <c r="O8" s="132">
        <v>0</v>
      </c>
      <c r="P8" s="66"/>
      <c r="Q8" s="66">
        <f t="shared" si="3"/>
        <v>0</v>
      </c>
      <c r="R8" s="132">
        <v>79340</v>
      </c>
      <c r="S8" s="65"/>
      <c r="T8" s="65">
        <f t="shared" si="4"/>
        <v>79340</v>
      </c>
      <c r="U8" s="132"/>
      <c r="V8" s="66"/>
      <c r="W8" s="66">
        <f t="shared" si="5"/>
        <v>0</v>
      </c>
      <c r="X8" s="132"/>
      <c r="Y8" s="65"/>
      <c r="Z8" s="65">
        <f t="shared" si="6"/>
        <v>0</v>
      </c>
      <c r="AA8" s="132"/>
      <c r="AB8" s="66"/>
      <c r="AC8" s="66">
        <f t="shared" si="7"/>
        <v>0</v>
      </c>
      <c r="AD8" s="65"/>
      <c r="AE8" s="65"/>
      <c r="AF8" s="65"/>
      <c r="AG8" s="66"/>
      <c r="AH8" s="66"/>
      <c r="AI8" s="66"/>
      <c r="AJ8" s="65"/>
      <c r="AK8" s="65"/>
      <c r="AL8" s="65"/>
      <c r="AM8" s="66"/>
      <c r="AN8" s="66"/>
      <c r="AO8" s="66"/>
    </row>
    <row r="9" spans="1:41" s="58" customFormat="1" ht="17.25" customHeight="1" x14ac:dyDescent="0.2">
      <c r="A9" s="64" t="s">
        <v>84</v>
      </c>
      <c r="B9" s="13"/>
      <c r="C9" s="14">
        <f t="shared" si="12"/>
        <v>110353</v>
      </c>
      <c r="D9" s="14"/>
      <c r="E9" s="3"/>
      <c r="F9" s="132"/>
      <c r="G9" s="65"/>
      <c r="H9" s="65">
        <f t="shared" si="0"/>
        <v>0</v>
      </c>
      <c r="I9" s="132">
        <v>101193</v>
      </c>
      <c r="J9" s="66"/>
      <c r="K9" s="66">
        <f t="shared" si="1"/>
        <v>101193</v>
      </c>
      <c r="L9" s="132"/>
      <c r="M9" s="65"/>
      <c r="N9" s="65">
        <f>L9+M9</f>
        <v>0</v>
      </c>
      <c r="O9" s="132"/>
      <c r="P9" s="66"/>
      <c r="Q9" s="66">
        <f t="shared" si="3"/>
        <v>0</v>
      </c>
      <c r="R9" s="132"/>
      <c r="S9" s="65"/>
      <c r="T9" s="65">
        <f t="shared" si="4"/>
        <v>0</v>
      </c>
      <c r="U9" s="132">
        <v>9160</v>
      </c>
      <c r="V9" s="66"/>
      <c r="W9" s="66">
        <f t="shared" si="5"/>
        <v>9160</v>
      </c>
      <c r="X9" s="132"/>
      <c r="Y9" s="65"/>
      <c r="Z9" s="65">
        <f t="shared" si="6"/>
        <v>0</v>
      </c>
      <c r="AA9" s="132"/>
      <c r="AB9" s="66"/>
      <c r="AC9" s="66">
        <f t="shared" si="7"/>
        <v>0</v>
      </c>
      <c r="AD9" s="65"/>
      <c r="AE9" s="65"/>
      <c r="AF9" s="65"/>
      <c r="AG9" s="66"/>
      <c r="AH9" s="66"/>
      <c r="AI9" s="66"/>
      <c r="AJ9" s="65"/>
      <c r="AK9" s="65"/>
      <c r="AL9" s="65"/>
      <c r="AM9" s="66"/>
      <c r="AN9" s="66"/>
      <c r="AO9" s="66"/>
    </row>
    <row r="10" spans="1:41" s="58" customFormat="1" ht="17.25" customHeight="1" x14ac:dyDescent="0.2">
      <c r="A10" s="64" t="s">
        <v>86</v>
      </c>
      <c r="B10" s="13"/>
      <c r="C10" s="14">
        <f t="shared" si="12"/>
        <v>938571</v>
      </c>
      <c r="D10" s="14"/>
      <c r="E10" s="3"/>
      <c r="F10" s="132"/>
      <c r="G10" s="65"/>
      <c r="H10" s="65">
        <f t="shared" si="0"/>
        <v>0</v>
      </c>
      <c r="I10" s="132">
        <v>0</v>
      </c>
      <c r="J10" s="66"/>
      <c r="K10" s="66">
        <f t="shared" si="1"/>
        <v>0</v>
      </c>
      <c r="L10" s="132"/>
      <c r="M10" s="65"/>
      <c r="N10" s="65">
        <f>L10+M10</f>
        <v>0</v>
      </c>
      <c r="O10" s="132">
        <v>97796</v>
      </c>
      <c r="P10" s="66"/>
      <c r="Q10" s="66">
        <f t="shared" si="3"/>
        <v>97796</v>
      </c>
      <c r="R10" s="132">
        <v>840775</v>
      </c>
      <c r="S10" s="65"/>
      <c r="T10" s="65">
        <f t="shared" si="4"/>
        <v>840775</v>
      </c>
      <c r="U10" s="132">
        <v>0</v>
      </c>
      <c r="V10" s="66"/>
      <c r="W10" s="66">
        <f t="shared" si="5"/>
        <v>0</v>
      </c>
      <c r="X10" s="132"/>
      <c r="Y10" s="65"/>
      <c r="Z10" s="65">
        <f t="shared" si="6"/>
        <v>0</v>
      </c>
      <c r="AA10" s="132"/>
      <c r="AB10" s="66"/>
      <c r="AC10" s="66">
        <f t="shared" si="7"/>
        <v>0</v>
      </c>
      <c r="AD10" s="65"/>
      <c r="AE10" s="65"/>
      <c r="AF10" s="65"/>
      <c r="AG10" s="66"/>
      <c r="AH10" s="66"/>
      <c r="AI10" s="66"/>
      <c r="AJ10" s="65"/>
      <c r="AK10" s="65"/>
      <c r="AL10" s="65"/>
      <c r="AM10" s="66"/>
      <c r="AN10" s="66"/>
      <c r="AO10" s="66"/>
    </row>
    <row r="11" spans="1:41" s="58" customFormat="1" ht="17.25" customHeight="1" x14ac:dyDescent="0.2">
      <c r="A11" s="64" t="s">
        <v>88</v>
      </c>
      <c r="B11" s="13"/>
      <c r="C11" s="14">
        <f t="shared" ref="C11:C21" si="13">H11+K11+N11+Q11+T11+W11+Z11+AC11+AF11+AI11+AL11+AO11</f>
        <v>144984</v>
      </c>
      <c r="D11" s="14"/>
      <c r="E11" s="3"/>
      <c r="F11" s="132">
        <v>144984</v>
      </c>
      <c r="G11" s="65"/>
      <c r="H11" s="65">
        <f t="shared" si="0"/>
        <v>144984</v>
      </c>
      <c r="I11" s="132"/>
      <c r="J11" s="66"/>
      <c r="K11" s="66">
        <f t="shared" si="1"/>
        <v>0</v>
      </c>
      <c r="L11" s="132"/>
      <c r="M11" s="65"/>
      <c r="N11" s="65">
        <f t="shared" si="2"/>
        <v>0</v>
      </c>
      <c r="O11" s="132"/>
      <c r="P11" s="66"/>
      <c r="Q11" s="66">
        <f t="shared" si="3"/>
        <v>0</v>
      </c>
      <c r="R11" s="132"/>
      <c r="S11" s="65"/>
      <c r="T11" s="65">
        <f t="shared" si="4"/>
        <v>0</v>
      </c>
      <c r="U11" s="132"/>
      <c r="V11" s="66"/>
      <c r="W11" s="66">
        <f t="shared" si="5"/>
        <v>0</v>
      </c>
      <c r="X11" s="132"/>
      <c r="Y11" s="65"/>
      <c r="Z11" s="65">
        <f t="shared" si="6"/>
        <v>0</v>
      </c>
      <c r="AA11" s="132"/>
      <c r="AB11" s="66"/>
      <c r="AC11" s="66">
        <f t="shared" si="7"/>
        <v>0</v>
      </c>
      <c r="AD11" s="65"/>
      <c r="AE11" s="65"/>
      <c r="AF11" s="65">
        <f t="shared" si="8"/>
        <v>0</v>
      </c>
      <c r="AG11" s="66"/>
      <c r="AH11" s="66"/>
      <c r="AI11" s="66">
        <f t="shared" si="9"/>
        <v>0</v>
      </c>
      <c r="AJ11" s="65"/>
      <c r="AK11" s="65"/>
      <c r="AL11" s="65">
        <f t="shared" si="10"/>
        <v>0</v>
      </c>
      <c r="AM11" s="66"/>
      <c r="AN11" s="66"/>
      <c r="AO11" s="66">
        <f t="shared" ref="AO11" si="14">AM11+AN11</f>
        <v>0</v>
      </c>
    </row>
    <row r="12" spans="1:41" s="58" customFormat="1" ht="17.25" customHeight="1" x14ac:dyDescent="0.2">
      <c r="A12" s="64" t="s">
        <v>58</v>
      </c>
      <c r="B12" s="13"/>
      <c r="C12" s="14">
        <f t="shared" si="13"/>
        <v>181110</v>
      </c>
      <c r="D12" s="14"/>
      <c r="E12" s="3"/>
      <c r="F12" s="132">
        <v>181110</v>
      </c>
      <c r="G12" s="65"/>
      <c r="H12" s="65">
        <f t="shared" si="0"/>
        <v>181110</v>
      </c>
      <c r="I12" s="132"/>
      <c r="J12" s="66"/>
      <c r="K12" s="66">
        <f t="shared" si="1"/>
        <v>0</v>
      </c>
      <c r="L12" s="132"/>
      <c r="M12" s="65"/>
      <c r="N12" s="65">
        <f>L12+M12</f>
        <v>0</v>
      </c>
      <c r="O12" s="132"/>
      <c r="P12" s="66"/>
      <c r="Q12" s="66">
        <f t="shared" si="3"/>
        <v>0</v>
      </c>
      <c r="R12" s="132"/>
      <c r="S12" s="65"/>
      <c r="T12" s="65">
        <f t="shared" si="4"/>
        <v>0</v>
      </c>
      <c r="U12" s="132"/>
      <c r="V12" s="66"/>
      <c r="W12" s="66">
        <f t="shared" si="5"/>
        <v>0</v>
      </c>
      <c r="X12" s="132"/>
      <c r="Y12" s="65"/>
      <c r="Z12" s="65">
        <f t="shared" si="6"/>
        <v>0</v>
      </c>
      <c r="AA12" s="132"/>
      <c r="AB12" s="66"/>
      <c r="AC12" s="66">
        <f t="shared" si="7"/>
        <v>0</v>
      </c>
      <c r="AD12" s="65"/>
      <c r="AE12" s="65"/>
      <c r="AF12" s="65"/>
      <c r="AG12" s="66"/>
      <c r="AH12" s="66"/>
      <c r="AI12" s="66"/>
      <c r="AJ12" s="65"/>
      <c r="AK12" s="65"/>
      <c r="AL12" s="65"/>
      <c r="AM12" s="66"/>
      <c r="AN12" s="66"/>
      <c r="AO12" s="66"/>
    </row>
    <row r="13" spans="1:41" s="58" customFormat="1" ht="17.25" customHeight="1" x14ac:dyDescent="0.2">
      <c r="A13" s="64" t="s">
        <v>59</v>
      </c>
      <c r="B13" s="13"/>
      <c r="C13" s="14">
        <f t="shared" si="13"/>
        <v>24000</v>
      </c>
      <c r="D13" s="14"/>
      <c r="E13" s="3"/>
      <c r="F13" s="132">
        <v>177265</v>
      </c>
      <c r="G13" s="120">
        <v>-167265</v>
      </c>
      <c r="H13" s="65">
        <f t="shared" si="0"/>
        <v>10000</v>
      </c>
      <c r="I13" s="132">
        <v>46940</v>
      </c>
      <c r="J13" s="120">
        <v>-46940</v>
      </c>
      <c r="K13" s="66">
        <f t="shared" si="1"/>
        <v>0</v>
      </c>
      <c r="L13" s="132"/>
      <c r="M13" s="65"/>
      <c r="N13" s="65">
        <f t="shared" si="2"/>
        <v>0</v>
      </c>
      <c r="O13" s="133">
        <f>392000+68470</f>
        <v>460470</v>
      </c>
      <c r="P13" s="120">
        <f>-392000-68470</f>
        <v>-460470</v>
      </c>
      <c r="Q13" s="66">
        <f t="shared" si="3"/>
        <v>0</v>
      </c>
      <c r="R13" s="132"/>
      <c r="S13" s="65"/>
      <c r="T13" s="65">
        <f t="shared" si="4"/>
        <v>0</v>
      </c>
      <c r="U13" s="132">
        <f>4000+12860</f>
        <v>16860</v>
      </c>
      <c r="V13" s="120">
        <v>-12860</v>
      </c>
      <c r="W13" s="66">
        <f t="shared" si="5"/>
        <v>4000</v>
      </c>
      <c r="X13" s="132"/>
      <c r="Y13" s="65"/>
      <c r="Z13" s="65">
        <f t="shared" si="6"/>
        <v>0</v>
      </c>
      <c r="AA13" s="132">
        <f>10000+16445</f>
        <v>26445</v>
      </c>
      <c r="AB13" s="120">
        <v>-16445</v>
      </c>
      <c r="AC13" s="66">
        <f t="shared" si="7"/>
        <v>10000</v>
      </c>
      <c r="AD13" s="65"/>
      <c r="AE13" s="65"/>
      <c r="AF13" s="65">
        <f t="shared" si="8"/>
        <v>0</v>
      </c>
      <c r="AG13" s="66"/>
      <c r="AH13" s="66"/>
      <c r="AI13" s="66">
        <f t="shared" si="9"/>
        <v>0</v>
      </c>
      <c r="AJ13" s="65"/>
      <c r="AK13" s="65"/>
      <c r="AL13" s="65">
        <f t="shared" si="10"/>
        <v>0</v>
      </c>
      <c r="AM13" s="66"/>
      <c r="AN13" s="66"/>
      <c r="AO13" s="66">
        <f t="shared" ref="AO13:AO21" si="15">AM13+AN13</f>
        <v>0</v>
      </c>
    </row>
    <row r="14" spans="1:41" s="58" customFormat="1" ht="17.25" customHeight="1" x14ac:dyDescent="0.2">
      <c r="A14" s="64" t="s">
        <v>87</v>
      </c>
      <c r="B14" s="13"/>
      <c r="C14" s="14">
        <f t="shared" si="13"/>
        <v>38200</v>
      </c>
      <c r="D14" s="14">
        <v>80000</v>
      </c>
      <c r="E14" s="3"/>
      <c r="F14" s="132">
        <v>38200</v>
      </c>
      <c r="G14" s="65"/>
      <c r="H14" s="65">
        <f t="shared" si="0"/>
        <v>38200</v>
      </c>
      <c r="I14" s="132"/>
      <c r="J14" s="66"/>
      <c r="K14" s="66">
        <f t="shared" si="1"/>
        <v>0</v>
      </c>
      <c r="L14" s="132"/>
      <c r="M14" s="65"/>
      <c r="N14" s="65">
        <f t="shared" si="2"/>
        <v>0</v>
      </c>
      <c r="O14" s="132"/>
      <c r="P14" s="66"/>
      <c r="Q14" s="66">
        <f t="shared" si="3"/>
        <v>0</v>
      </c>
      <c r="R14" s="132"/>
      <c r="S14" s="65"/>
      <c r="T14" s="65">
        <f t="shared" si="4"/>
        <v>0</v>
      </c>
      <c r="U14" s="132"/>
      <c r="V14" s="66"/>
      <c r="W14" s="66">
        <f t="shared" si="5"/>
        <v>0</v>
      </c>
      <c r="X14" s="132"/>
      <c r="Y14" s="65"/>
      <c r="Z14" s="65">
        <f t="shared" si="6"/>
        <v>0</v>
      </c>
      <c r="AA14" s="132"/>
      <c r="AB14" s="66"/>
      <c r="AC14" s="66">
        <f t="shared" si="7"/>
        <v>0</v>
      </c>
      <c r="AD14" s="65"/>
      <c r="AE14" s="65"/>
      <c r="AF14" s="65">
        <f t="shared" si="8"/>
        <v>0</v>
      </c>
      <c r="AG14" s="66"/>
      <c r="AH14" s="66"/>
      <c r="AI14" s="66">
        <f t="shared" si="9"/>
        <v>0</v>
      </c>
      <c r="AJ14" s="65"/>
      <c r="AK14" s="65"/>
      <c r="AL14" s="65">
        <f t="shared" si="10"/>
        <v>0</v>
      </c>
      <c r="AM14" s="66"/>
      <c r="AN14" s="66"/>
      <c r="AO14" s="66">
        <f t="shared" si="15"/>
        <v>0</v>
      </c>
    </row>
    <row r="15" spans="1:41" s="58" customFormat="1" ht="17.25" customHeight="1" x14ac:dyDescent="0.2">
      <c r="A15" s="64" t="s">
        <v>53</v>
      </c>
      <c r="B15" s="13"/>
      <c r="C15" s="14">
        <f t="shared" si="13"/>
        <v>542514</v>
      </c>
      <c r="D15" s="14">
        <v>45000</v>
      </c>
      <c r="E15" s="3"/>
      <c r="F15" s="132"/>
      <c r="G15" s="65"/>
      <c r="H15" s="65">
        <f t="shared" si="0"/>
        <v>0</v>
      </c>
      <c r="I15" s="132">
        <v>142600</v>
      </c>
      <c r="J15" s="66"/>
      <c r="K15" s="66">
        <f t="shared" si="1"/>
        <v>142600</v>
      </c>
      <c r="L15" s="132"/>
      <c r="M15" s="65"/>
      <c r="N15" s="65">
        <f t="shared" si="2"/>
        <v>0</v>
      </c>
      <c r="O15" s="132">
        <v>350314</v>
      </c>
      <c r="P15" s="66"/>
      <c r="Q15" s="66">
        <f t="shared" si="3"/>
        <v>350314</v>
      </c>
      <c r="R15" s="132"/>
      <c r="S15" s="65"/>
      <c r="T15" s="65">
        <f t="shared" si="4"/>
        <v>0</v>
      </c>
      <c r="U15" s="132">
        <v>18700</v>
      </c>
      <c r="V15" s="66"/>
      <c r="W15" s="66">
        <f t="shared" si="5"/>
        <v>18700</v>
      </c>
      <c r="X15" s="132">
        <v>25400</v>
      </c>
      <c r="Y15" s="65"/>
      <c r="Z15" s="65">
        <f t="shared" si="6"/>
        <v>25400</v>
      </c>
      <c r="AA15" s="132">
        <v>3400</v>
      </c>
      <c r="AB15" s="66"/>
      <c r="AC15" s="66">
        <f t="shared" si="7"/>
        <v>3400</v>
      </c>
      <c r="AD15" s="65">
        <v>2100</v>
      </c>
      <c r="AE15" s="65"/>
      <c r="AF15" s="65">
        <f t="shared" si="8"/>
        <v>2100</v>
      </c>
      <c r="AG15" s="66"/>
      <c r="AH15" s="66"/>
      <c r="AI15" s="66">
        <f t="shared" si="9"/>
        <v>0</v>
      </c>
      <c r="AJ15" s="65"/>
      <c r="AK15" s="65"/>
      <c r="AL15" s="65">
        <f t="shared" si="10"/>
        <v>0</v>
      </c>
      <c r="AM15" s="66"/>
      <c r="AN15" s="66"/>
      <c r="AO15" s="66">
        <f t="shared" si="15"/>
        <v>0</v>
      </c>
    </row>
    <row r="16" spans="1:41" s="58" customFormat="1" ht="17.25" customHeight="1" x14ac:dyDescent="0.2">
      <c r="A16" s="64" t="s">
        <v>54</v>
      </c>
      <c r="B16" s="13"/>
      <c r="C16" s="14">
        <f t="shared" si="13"/>
        <v>588606</v>
      </c>
      <c r="D16" s="14">
        <v>3000</v>
      </c>
      <c r="E16" s="3"/>
      <c r="F16" s="132">
        <f>434056+240000</f>
        <v>674056</v>
      </c>
      <c r="G16" s="120">
        <v>-100000</v>
      </c>
      <c r="H16" s="65">
        <f t="shared" si="0"/>
        <v>574056</v>
      </c>
      <c r="I16" s="132">
        <v>0</v>
      </c>
      <c r="J16" s="66"/>
      <c r="K16" s="66">
        <f t="shared" si="1"/>
        <v>0</v>
      </c>
      <c r="L16" s="132"/>
      <c r="M16" s="65"/>
      <c r="N16" s="65">
        <f t="shared" si="2"/>
        <v>0</v>
      </c>
      <c r="O16" s="132">
        <v>0</v>
      </c>
      <c r="P16" s="66"/>
      <c r="Q16" s="66">
        <f t="shared" si="3"/>
        <v>0</v>
      </c>
      <c r="R16" s="132">
        <v>14550</v>
      </c>
      <c r="S16" s="65"/>
      <c r="T16" s="65">
        <f t="shared" si="4"/>
        <v>14550</v>
      </c>
      <c r="U16" s="132"/>
      <c r="V16" s="66"/>
      <c r="W16" s="66">
        <f t="shared" si="5"/>
        <v>0</v>
      </c>
      <c r="X16" s="132"/>
      <c r="Y16" s="65"/>
      <c r="Z16" s="65">
        <f t="shared" si="6"/>
        <v>0</v>
      </c>
      <c r="AA16" s="132"/>
      <c r="AB16" s="66"/>
      <c r="AC16" s="66">
        <f t="shared" si="7"/>
        <v>0</v>
      </c>
      <c r="AD16" s="65"/>
      <c r="AE16" s="65"/>
      <c r="AF16" s="65">
        <f t="shared" si="8"/>
        <v>0</v>
      </c>
      <c r="AG16" s="66"/>
      <c r="AH16" s="66"/>
      <c r="AI16" s="66">
        <f t="shared" si="9"/>
        <v>0</v>
      </c>
      <c r="AJ16" s="65"/>
      <c r="AK16" s="65"/>
      <c r="AL16" s="65">
        <f t="shared" si="10"/>
        <v>0</v>
      </c>
      <c r="AM16" s="66"/>
      <c r="AN16" s="66"/>
      <c r="AO16" s="66">
        <f t="shared" si="15"/>
        <v>0</v>
      </c>
    </row>
    <row r="17" spans="1:41" s="58" customFormat="1" ht="17.25" customHeight="1" x14ac:dyDescent="0.2">
      <c r="A17" s="64" t="s">
        <v>85</v>
      </c>
      <c r="B17" s="13"/>
      <c r="C17" s="14">
        <f t="shared" si="13"/>
        <v>0</v>
      </c>
      <c r="D17" s="14">
        <v>32000</v>
      </c>
      <c r="E17" s="3"/>
      <c r="F17" s="132"/>
      <c r="G17" s="65"/>
      <c r="H17" s="65">
        <f t="shared" si="0"/>
        <v>0</v>
      </c>
      <c r="I17" s="132"/>
      <c r="J17" s="66"/>
      <c r="K17" s="66">
        <f t="shared" si="1"/>
        <v>0</v>
      </c>
      <c r="L17" s="132"/>
      <c r="M17" s="65"/>
      <c r="N17" s="65">
        <f t="shared" si="2"/>
        <v>0</v>
      </c>
      <c r="O17" s="132">
        <v>0</v>
      </c>
      <c r="P17" s="66"/>
      <c r="Q17" s="66">
        <f t="shared" si="3"/>
        <v>0</v>
      </c>
      <c r="R17" s="132"/>
      <c r="S17" s="65"/>
      <c r="T17" s="65">
        <f t="shared" si="4"/>
        <v>0</v>
      </c>
      <c r="U17" s="132"/>
      <c r="V17" s="66"/>
      <c r="W17" s="66">
        <f t="shared" si="5"/>
        <v>0</v>
      </c>
      <c r="X17" s="132"/>
      <c r="Y17" s="65"/>
      <c r="Z17" s="65">
        <f t="shared" si="6"/>
        <v>0</v>
      </c>
      <c r="AA17" s="132"/>
      <c r="AB17" s="66"/>
      <c r="AC17" s="66">
        <f t="shared" si="7"/>
        <v>0</v>
      </c>
      <c r="AD17" s="65"/>
      <c r="AE17" s="65"/>
      <c r="AF17" s="65">
        <f t="shared" si="8"/>
        <v>0</v>
      </c>
      <c r="AG17" s="66"/>
      <c r="AH17" s="66"/>
      <c r="AI17" s="66">
        <f t="shared" si="9"/>
        <v>0</v>
      </c>
      <c r="AJ17" s="65"/>
      <c r="AK17" s="65"/>
      <c r="AL17" s="65">
        <f t="shared" si="10"/>
        <v>0</v>
      </c>
      <c r="AM17" s="66"/>
      <c r="AN17" s="66"/>
      <c r="AO17" s="66">
        <f t="shared" si="15"/>
        <v>0</v>
      </c>
    </row>
    <row r="18" spans="1:41" s="58" customFormat="1" ht="17.25" customHeight="1" x14ac:dyDescent="0.2">
      <c r="A18" s="64" t="s">
        <v>56</v>
      </c>
      <c r="B18" s="13"/>
      <c r="C18" s="14">
        <f t="shared" si="13"/>
        <v>22750</v>
      </c>
      <c r="D18" s="14">
        <v>70000</v>
      </c>
      <c r="E18" s="3"/>
      <c r="F18" s="132">
        <v>22750</v>
      </c>
      <c r="G18" s="65"/>
      <c r="H18" s="65">
        <f t="shared" si="0"/>
        <v>22750</v>
      </c>
      <c r="I18" s="132"/>
      <c r="J18" s="66"/>
      <c r="K18" s="66">
        <f t="shared" si="1"/>
        <v>0</v>
      </c>
      <c r="L18" s="132"/>
      <c r="M18" s="65"/>
      <c r="N18" s="65">
        <f t="shared" si="2"/>
        <v>0</v>
      </c>
      <c r="O18" s="132"/>
      <c r="P18" s="66"/>
      <c r="Q18" s="66">
        <f t="shared" si="3"/>
        <v>0</v>
      </c>
      <c r="R18" s="132"/>
      <c r="S18" s="65"/>
      <c r="T18" s="65">
        <f t="shared" si="4"/>
        <v>0</v>
      </c>
      <c r="U18" s="132"/>
      <c r="V18" s="66"/>
      <c r="W18" s="66">
        <f t="shared" si="5"/>
        <v>0</v>
      </c>
      <c r="X18" s="132"/>
      <c r="Y18" s="65"/>
      <c r="Z18" s="65">
        <f t="shared" si="6"/>
        <v>0</v>
      </c>
      <c r="AA18" s="132"/>
      <c r="AB18" s="66"/>
      <c r="AC18" s="66">
        <f t="shared" si="7"/>
        <v>0</v>
      </c>
      <c r="AD18" s="65"/>
      <c r="AE18" s="65"/>
      <c r="AF18" s="65">
        <f t="shared" si="8"/>
        <v>0</v>
      </c>
      <c r="AG18" s="66"/>
      <c r="AH18" s="66"/>
      <c r="AI18" s="66">
        <f t="shared" si="9"/>
        <v>0</v>
      </c>
      <c r="AJ18" s="65"/>
      <c r="AK18" s="65"/>
      <c r="AL18" s="65">
        <f t="shared" si="10"/>
        <v>0</v>
      </c>
      <c r="AM18" s="66"/>
      <c r="AN18" s="66"/>
      <c r="AO18" s="66">
        <f t="shared" si="15"/>
        <v>0</v>
      </c>
    </row>
    <row r="19" spans="1:41" s="58" customFormat="1" ht="17.25" customHeight="1" x14ac:dyDescent="0.2">
      <c r="A19" s="12" t="s">
        <v>162</v>
      </c>
      <c r="B19" s="13"/>
      <c r="C19" s="14">
        <f t="shared" si="13"/>
        <v>68719</v>
      </c>
      <c r="D19" s="14">
        <v>70000</v>
      </c>
      <c r="E19" s="3"/>
      <c r="F19" s="132">
        <v>68719</v>
      </c>
      <c r="G19" s="65"/>
      <c r="H19" s="65">
        <f t="shared" si="0"/>
        <v>68719</v>
      </c>
      <c r="I19" s="132"/>
      <c r="J19" s="66"/>
      <c r="K19" s="66">
        <f t="shared" si="1"/>
        <v>0</v>
      </c>
      <c r="L19" s="132"/>
      <c r="M19" s="65"/>
      <c r="N19" s="65">
        <f t="shared" si="2"/>
        <v>0</v>
      </c>
      <c r="O19" s="132"/>
      <c r="P19" s="66"/>
      <c r="Q19" s="66">
        <f t="shared" si="3"/>
        <v>0</v>
      </c>
      <c r="R19" s="132"/>
      <c r="S19" s="65"/>
      <c r="T19" s="65">
        <f t="shared" si="4"/>
        <v>0</v>
      </c>
      <c r="U19" s="132"/>
      <c r="V19" s="66"/>
      <c r="W19" s="66">
        <f t="shared" si="5"/>
        <v>0</v>
      </c>
      <c r="X19" s="132"/>
      <c r="Y19" s="65"/>
      <c r="Z19" s="65">
        <f t="shared" si="6"/>
        <v>0</v>
      </c>
      <c r="AA19" s="132"/>
      <c r="AB19" s="66"/>
      <c r="AC19" s="66">
        <f t="shared" si="7"/>
        <v>0</v>
      </c>
      <c r="AD19" s="65"/>
      <c r="AE19" s="65"/>
      <c r="AF19" s="65">
        <f t="shared" si="8"/>
        <v>0</v>
      </c>
      <c r="AG19" s="66"/>
      <c r="AH19" s="66"/>
      <c r="AI19" s="66">
        <f t="shared" si="9"/>
        <v>0</v>
      </c>
      <c r="AJ19" s="65"/>
      <c r="AK19" s="65"/>
      <c r="AL19" s="65">
        <f t="shared" si="10"/>
        <v>0</v>
      </c>
      <c r="AM19" s="66"/>
      <c r="AN19" s="66"/>
      <c r="AO19" s="66">
        <f t="shared" si="15"/>
        <v>0</v>
      </c>
    </row>
    <row r="20" spans="1:41" s="58" customFormat="1" ht="17.25" customHeight="1" x14ac:dyDescent="0.2">
      <c r="A20" s="12" t="s">
        <v>124</v>
      </c>
      <c r="B20" s="13"/>
      <c r="C20" s="14">
        <f t="shared" si="13"/>
        <v>180785</v>
      </c>
      <c r="D20" s="14"/>
      <c r="E20" s="3"/>
      <c r="F20" s="132">
        <v>180785</v>
      </c>
      <c r="G20" s="65"/>
      <c r="H20" s="65">
        <f t="shared" si="0"/>
        <v>180785</v>
      </c>
      <c r="I20" s="132"/>
      <c r="J20" s="66"/>
      <c r="K20" s="66">
        <f t="shared" si="1"/>
        <v>0</v>
      </c>
      <c r="L20" s="132"/>
      <c r="M20" s="65"/>
      <c r="N20" s="65">
        <f t="shared" si="2"/>
        <v>0</v>
      </c>
      <c r="O20" s="132"/>
      <c r="P20" s="66"/>
      <c r="Q20" s="66">
        <f t="shared" si="3"/>
        <v>0</v>
      </c>
      <c r="R20" s="132"/>
      <c r="S20" s="65"/>
      <c r="T20" s="65">
        <f t="shared" si="4"/>
        <v>0</v>
      </c>
      <c r="U20" s="132"/>
      <c r="V20" s="66"/>
      <c r="W20" s="66">
        <f t="shared" si="5"/>
        <v>0</v>
      </c>
      <c r="X20" s="132"/>
      <c r="Y20" s="65"/>
      <c r="Z20" s="65">
        <f t="shared" si="6"/>
        <v>0</v>
      </c>
      <c r="AA20" s="132"/>
      <c r="AB20" s="66"/>
      <c r="AC20" s="66">
        <f t="shared" si="7"/>
        <v>0</v>
      </c>
      <c r="AD20" s="65"/>
      <c r="AE20" s="65"/>
      <c r="AF20" s="65">
        <f t="shared" si="8"/>
        <v>0</v>
      </c>
      <c r="AG20" s="66"/>
      <c r="AH20" s="66"/>
      <c r="AI20" s="66">
        <f t="shared" si="9"/>
        <v>0</v>
      </c>
      <c r="AJ20" s="65"/>
      <c r="AK20" s="65"/>
      <c r="AL20" s="65">
        <f t="shared" si="10"/>
        <v>0</v>
      </c>
      <c r="AM20" s="66"/>
      <c r="AN20" s="66"/>
      <c r="AO20" s="66">
        <f t="shared" si="15"/>
        <v>0</v>
      </c>
    </row>
    <row r="21" spans="1:41" s="58" customFormat="1" ht="17.25" customHeight="1" x14ac:dyDescent="0.2">
      <c r="A21" s="64" t="s">
        <v>55</v>
      </c>
      <c r="B21" s="13"/>
      <c r="C21" s="14">
        <f t="shared" si="13"/>
        <v>315124</v>
      </c>
      <c r="D21" s="14">
        <v>20000</v>
      </c>
      <c r="E21" s="3"/>
      <c r="F21" s="132">
        <v>15520</v>
      </c>
      <c r="G21" s="65"/>
      <c r="H21" s="65">
        <f t="shared" si="0"/>
        <v>15520</v>
      </c>
      <c r="I21" s="132">
        <v>61770</v>
      </c>
      <c r="J21" s="66"/>
      <c r="K21" s="66">
        <f t="shared" si="1"/>
        <v>61770</v>
      </c>
      <c r="L21" s="132"/>
      <c r="M21" s="65"/>
      <c r="N21" s="65">
        <f t="shared" si="2"/>
        <v>0</v>
      </c>
      <c r="O21" s="133">
        <v>96200</v>
      </c>
      <c r="P21" s="66"/>
      <c r="Q21" s="66">
        <f t="shared" si="3"/>
        <v>96200</v>
      </c>
      <c r="R21" s="132"/>
      <c r="S21" s="65"/>
      <c r="T21" s="65">
        <f t="shared" si="4"/>
        <v>0</v>
      </c>
      <c r="U21" s="132">
        <v>0</v>
      </c>
      <c r="V21" s="66"/>
      <c r="W21" s="66">
        <f t="shared" si="5"/>
        <v>0</v>
      </c>
      <c r="X21" s="132">
        <v>140000</v>
      </c>
      <c r="Y21" s="65"/>
      <c r="Z21" s="65">
        <f t="shared" si="6"/>
        <v>140000</v>
      </c>
      <c r="AA21" s="132">
        <v>462</v>
      </c>
      <c r="AB21" s="66"/>
      <c r="AC21" s="66">
        <f t="shared" si="7"/>
        <v>462</v>
      </c>
      <c r="AD21" s="65"/>
      <c r="AE21" s="65">
        <v>1172</v>
      </c>
      <c r="AF21" s="65">
        <f t="shared" si="8"/>
        <v>1172</v>
      </c>
      <c r="AG21" s="66"/>
      <c r="AH21" s="66"/>
      <c r="AI21" s="66">
        <f t="shared" si="9"/>
        <v>0</v>
      </c>
      <c r="AJ21" s="65"/>
      <c r="AK21" s="65"/>
      <c r="AL21" s="65">
        <f t="shared" si="10"/>
        <v>0</v>
      </c>
      <c r="AM21" s="66"/>
      <c r="AN21" s="66"/>
      <c r="AO21" s="66">
        <f t="shared" si="15"/>
        <v>0</v>
      </c>
    </row>
    <row r="22" spans="1:41" s="58" customFormat="1" ht="17.25" x14ac:dyDescent="0.3">
      <c r="A22" s="4" t="s">
        <v>5</v>
      </c>
      <c r="B22" s="16"/>
      <c r="C22" s="17">
        <f>SUM(C7:C21)</f>
        <v>3633320</v>
      </c>
      <c r="D22" s="17">
        <f>SUM(D7:D21)</f>
        <v>380000</v>
      </c>
      <c r="E22" s="3"/>
      <c r="F22" s="67">
        <f t="shared" ref="F22:AO22" si="16">SUM(F7:F21)</f>
        <v>1503389</v>
      </c>
      <c r="G22" s="67">
        <f t="shared" si="16"/>
        <v>-267265</v>
      </c>
      <c r="H22" s="67">
        <f t="shared" si="16"/>
        <v>1236124</v>
      </c>
      <c r="I22" s="67">
        <f t="shared" si="16"/>
        <v>513763</v>
      </c>
      <c r="J22" s="67">
        <f t="shared" si="16"/>
        <v>-46940</v>
      </c>
      <c r="K22" s="67">
        <f t="shared" si="16"/>
        <v>466823</v>
      </c>
      <c r="L22" s="67">
        <f t="shared" si="16"/>
        <v>0</v>
      </c>
      <c r="M22" s="67">
        <f t="shared" si="16"/>
        <v>0</v>
      </c>
      <c r="N22" s="67">
        <f t="shared" si="16"/>
        <v>0</v>
      </c>
      <c r="O22" s="67">
        <f t="shared" si="16"/>
        <v>1070958</v>
      </c>
      <c r="P22" s="67">
        <f t="shared" si="16"/>
        <v>-460470</v>
      </c>
      <c r="Q22" s="67">
        <f t="shared" si="16"/>
        <v>610488</v>
      </c>
      <c r="R22" s="67">
        <f t="shared" si="16"/>
        <v>1105491</v>
      </c>
      <c r="S22" s="67">
        <f t="shared" si="16"/>
        <v>0</v>
      </c>
      <c r="T22" s="67">
        <f t="shared" si="16"/>
        <v>1105491</v>
      </c>
      <c r="U22" s="67">
        <f t="shared" si="16"/>
        <v>44720</v>
      </c>
      <c r="V22" s="67">
        <f t="shared" si="16"/>
        <v>-12860</v>
      </c>
      <c r="W22" s="67">
        <f t="shared" si="16"/>
        <v>31860</v>
      </c>
      <c r="X22" s="67">
        <f t="shared" si="16"/>
        <v>165400</v>
      </c>
      <c r="Y22" s="67">
        <f t="shared" si="16"/>
        <v>0</v>
      </c>
      <c r="Z22" s="67">
        <f t="shared" si="16"/>
        <v>165400</v>
      </c>
      <c r="AA22" s="67">
        <f t="shared" si="16"/>
        <v>30307</v>
      </c>
      <c r="AB22" s="67">
        <f t="shared" si="16"/>
        <v>-16445</v>
      </c>
      <c r="AC22" s="67">
        <f t="shared" si="16"/>
        <v>13862</v>
      </c>
      <c r="AD22" s="67">
        <f t="shared" si="16"/>
        <v>2100</v>
      </c>
      <c r="AE22" s="67">
        <f t="shared" si="16"/>
        <v>1172</v>
      </c>
      <c r="AF22" s="67">
        <f t="shared" si="16"/>
        <v>3272</v>
      </c>
      <c r="AG22" s="67">
        <f t="shared" si="16"/>
        <v>0</v>
      </c>
      <c r="AH22" s="67">
        <f t="shared" si="16"/>
        <v>0</v>
      </c>
      <c r="AI22" s="67">
        <f t="shared" si="16"/>
        <v>0</v>
      </c>
      <c r="AJ22" s="67">
        <f t="shared" si="16"/>
        <v>0</v>
      </c>
      <c r="AK22" s="67">
        <f t="shared" si="16"/>
        <v>0</v>
      </c>
      <c r="AL22" s="67">
        <f t="shared" si="16"/>
        <v>0</v>
      </c>
      <c r="AM22" s="67">
        <f t="shared" si="16"/>
        <v>0</v>
      </c>
      <c r="AN22" s="67">
        <f t="shared" si="16"/>
        <v>0</v>
      </c>
      <c r="AO22" s="67">
        <f t="shared" si="16"/>
        <v>0</v>
      </c>
    </row>
    <row r="23" spans="1:41" s="58" customFormat="1" ht="21.95" customHeight="1" x14ac:dyDescent="0.3">
      <c r="A23" s="15"/>
      <c r="B23" s="16"/>
      <c r="C23" s="18"/>
      <c r="D23" s="18"/>
      <c r="E23" s="3"/>
      <c r="F23" s="65"/>
      <c r="G23" s="65"/>
      <c r="H23" s="65"/>
      <c r="I23" s="66"/>
      <c r="J23" s="66"/>
      <c r="K23" s="66"/>
      <c r="L23" s="65"/>
      <c r="M23" s="65"/>
      <c r="N23" s="65"/>
      <c r="O23" s="66"/>
      <c r="P23" s="66"/>
      <c r="Q23" s="66"/>
      <c r="R23" s="65"/>
      <c r="S23" s="65"/>
      <c r="T23" s="65"/>
      <c r="U23" s="66"/>
      <c r="V23" s="66"/>
      <c r="W23" s="66"/>
      <c r="X23" s="65"/>
      <c r="Y23" s="65"/>
      <c r="Z23" s="65"/>
      <c r="AA23" s="66"/>
      <c r="AB23" s="66"/>
      <c r="AC23" s="66"/>
      <c r="AD23" s="65"/>
      <c r="AE23" s="65"/>
      <c r="AF23" s="65"/>
      <c r="AG23" s="66"/>
      <c r="AH23" s="66"/>
      <c r="AI23" s="66"/>
      <c r="AJ23" s="65"/>
      <c r="AK23" s="65"/>
      <c r="AL23" s="65"/>
      <c r="AM23" s="66"/>
      <c r="AN23" s="66"/>
      <c r="AO23" s="66"/>
    </row>
    <row r="24" spans="1:41" s="58" customFormat="1" ht="17.25" x14ac:dyDescent="0.3">
      <c r="A24" s="4" t="s">
        <v>6</v>
      </c>
      <c r="B24" s="16"/>
      <c r="C24" s="19"/>
      <c r="D24" s="19"/>
      <c r="E24" s="3"/>
      <c r="F24" s="65"/>
      <c r="G24" s="65"/>
      <c r="H24" s="65"/>
      <c r="I24" s="66"/>
      <c r="J24" s="66"/>
      <c r="K24" s="66"/>
      <c r="L24" s="65"/>
      <c r="M24" s="65"/>
      <c r="N24" s="65"/>
      <c r="O24" s="66"/>
      <c r="P24" s="66"/>
      <c r="Q24" s="66"/>
      <c r="R24" s="65"/>
      <c r="S24" s="65"/>
      <c r="T24" s="65"/>
      <c r="U24" s="66"/>
      <c r="V24" s="66"/>
      <c r="W24" s="66"/>
      <c r="X24" s="65"/>
      <c r="Y24" s="65"/>
      <c r="Z24" s="65"/>
      <c r="AA24" s="66"/>
      <c r="AB24" s="66"/>
      <c r="AC24" s="66"/>
      <c r="AD24" s="65"/>
      <c r="AE24" s="65"/>
      <c r="AF24" s="65"/>
      <c r="AG24" s="66"/>
      <c r="AH24" s="66"/>
      <c r="AI24" s="66"/>
      <c r="AJ24" s="65"/>
      <c r="AK24" s="65"/>
      <c r="AL24" s="65"/>
      <c r="AM24" s="66"/>
      <c r="AN24" s="66"/>
      <c r="AO24" s="66"/>
    </row>
    <row r="25" spans="1:41" s="58" customFormat="1" ht="9.9499999999999993" customHeight="1" x14ac:dyDescent="0.3">
      <c r="A25" s="15"/>
      <c r="B25" s="16"/>
      <c r="C25" s="19"/>
      <c r="D25" s="19"/>
      <c r="E25" s="3"/>
      <c r="F25" s="65"/>
      <c r="G25" s="65"/>
      <c r="H25" s="65"/>
      <c r="I25" s="66"/>
      <c r="J25" s="66"/>
      <c r="K25" s="66"/>
      <c r="L25" s="65"/>
      <c r="M25" s="65"/>
      <c r="N25" s="65"/>
      <c r="O25" s="66"/>
      <c r="P25" s="66"/>
      <c r="Q25" s="66"/>
      <c r="R25" s="65"/>
      <c r="S25" s="65"/>
      <c r="T25" s="65"/>
      <c r="U25" s="66"/>
      <c r="V25" s="66"/>
      <c r="W25" s="66"/>
      <c r="X25" s="65"/>
      <c r="Y25" s="65"/>
      <c r="Z25" s="65"/>
      <c r="AA25" s="66"/>
      <c r="AB25" s="66"/>
      <c r="AC25" s="66"/>
      <c r="AD25" s="65"/>
      <c r="AE25" s="65"/>
      <c r="AF25" s="65"/>
      <c r="AG25" s="66"/>
      <c r="AH25" s="66"/>
      <c r="AI25" s="66"/>
      <c r="AJ25" s="65"/>
      <c r="AK25" s="65"/>
      <c r="AL25" s="65"/>
      <c r="AM25" s="66"/>
      <c r="AN25" s="66"/>
      <c r="AO25" s="66"/>
    </row>
    <row r="26" spans="1:41" s="58" customFormat="1" ht="16.5" customHeight="1" x14ac:dyDescent="0.3">
      <c r="A26" s="68" t="s">
        <v>89</v>
      </c>
      <c r="B26" s="16"/>
      <c r="C26" s="14">
        <f>H26+K26+N26+Q26+T26+W26+Z26+AC26+AF26+AI26+AL26+AO26</f>
        <v>258017</v>
      </c>
      <c r="D26" s="19"/>
      <c r="E26" s="3"/>
      <c r="F26" s="132">
        <v>0</v>
      </c>
      <c r="G26" s="65"/>
      <c r="H26" s="65">
        <f t="shared" si="0"/>
        <v>0</v>
      </c>
      <c r="I26" s="132">
        <v>36608</v>
      </c>
      <c r="J26" s="66"/>
      <c r="K26" s="66">
        <f t="shared" si="1"/>
        <v>36608</v>
      </c>
      <c r="L26" s="132"/>
      <c r="M26" s="65"/>
      <c r="N26" s="65">
        <f t="shared" si="2"/>
        <v>0</v>
      </c>
      <c r="O26" s="132">
        <v>79670</v>
      </c>
      <c r="P26" s="66"/>
      <c r="Q26" s="66">
        <f t="shared" si="3"/>
        <v>79670</v>
      </c>
      <c r="R26" s="132">
        <v>141739</v>
      </c>
      <c r="S26" s="65"/>
      <c r="T26" s="65">
        <f t="shared" si="4"/>
        <v>141739</v>
      </c>
      <c r="U26" s="132">
        <v>0</v>
      </c>
      <c r="V26" s="66"/>
      <c r="W26" s="66">
        <f t="shared" si="5"/>
        <v>0</v>
      </c>
      <c r="X26" s="132"/>
      <c r="Y26" s="65"/>
      <c r="Z26" s="65">
        <f t="shared" si="6"/>
        <v>0</v>
      </c>
      <c r="AA26" s="132"/>
      <c r="AB26" s="66"/>
      <c r="AC26" s="66">
        <f t="shared" si="7"/>
        <v>0</v>
      </c>
      <c r="AD26" s="65"/>
      <c r="AE26" s="65"/>
      <c r="AF26" s="65">
        <f t="shared" si="8"/>
        <v>0</v>
      </c>
      <c r="AG26" s="66"/>
      <c r="AH26" s="66"/>
      <c r="AI26" s="66">
        <f t="shared" si="9"/>
        <v>0</v>
      </c>
      <c r="AJ26" s="65"/>
      <c r="AK26" s="65"/>
      <c r="AL26" s="65">
        <f t="shared" si="10"/>
        <v>0</v>
      </c>
      <c r="AM26" s="66"/>
      <c r="AN26" s="66"/>
      <c r="AO26" s="66">
        <f t="shared" ref="AO26:AO30" si="17">AM26+AN26</f>
        <v>0</v>
      </c>
    </row>
    <row r="27" spans="1:41" s="58" customFormat="1" ht="16.5" customHeight="1" x14ac:dyDescent="0.3">
      <c r="A27" s="68" t="s">
        <v>60</v>
      </c>
      <c r="B27" s="16"/>
      <c r="C27" s="14">
        <f>H27+K27+N27+Q27+T27+W27+Z27+AC27+AF27+AI27+AL27+AO27</f>
        <v>899113</v>
      </c>
      <c r="D27" s="19">
        <v>35000</v>
      </c>
      <c r="E27" s="3"/>
      <c r="F27" s="132">
        <v>372662</v>
      </c>
      <c r="G27" s="65"/>
      <c r="H27" s="65">
        <f t="shared" si="0"/>
        <v>372662</v>
      </c>
      <c r="I27" s="132">
        <v>62679</v>
      </c>
      <c r="J27" s="66"/>
      <c r="K27" s="66">
        <f t="shared" si="1"/>
        <v>62679</v>
      </c>
      <c r="L27" s="132">
        <v>0</v>
      </c>
      <c r="M27" s="65"/>
      <c r="N27" s="65">
        <f t="shared" si="2"/>
        <v>0</v>
      </c>
      <c r="O27" s="132">
        <v>393602</v>
      </c>
      <c r="P27" s="66"/>
      <c r="Q27" s="66">
        <f t="shared" si="3"/>
        <v>393602</v>
      </c>
      <c r="R27" s="132">
        <v>56170</v>
      </c>
      <c r="S27" s="65"/>
      <c r="T27" s="65">
        <f t="shared" si="4"/>
        <v>56170</v>
      </c>
      <c r="U27" s="132"/>
      <c r="V27" s="66"/>
      <c r="W27" s="66">
        <f t="shared" si="5"/>
        <v>0</v>
      </c>
      <c r="X27" s="132">
        <v>8000</v>
      </c>
      <c r="Y27" s="65"/>
      <c r="Z27" s="65">
        <f t="shared" si="6"/>
        <v>8000</v>
      </c>
      <c r="AA27" s="132">
        <v>6000</v>
      </c>
      <c r="AB27" s="66"/>
      <c r="AC27" s="66">
        <f t="shared" si="7"/>
        <v>6000</v>
      </c>
      <c r="AD27" s="65"/>
      <c r="AE27" s="65"/>
      <c r="AF27" s="65">
        <f t="shared" si="8"/>
        <v>0</v>
      </c>
      <c r="AG27" s="66"/>
      <c r="AH27" s="66"/>
      <c r="AI27" s="66">
        <f t="shared" si="9"/>
        <v>0</v>
      </c>
      <c r="AJ27" s="65"/>
      <c r="AK27" s="65"/>
      <c r="AL27" s="65">
        <f t="shared" si="10"/>
        <v>0</v>
      </c>
      <c r="AM27" s="66"/>
      <c r="AN27" s="66"/>
      <c r="AO27" s="66">
        <f t="shared" si="17"/>
        <v>0</v>
      </c>
    </row>
    <row r="28" spans="1:41" s="58" customFormat="1" ht="16.5" customHeight="1" x14ac:dyDescent="0.3">
      <c r="A28" s="68" t="s">
        <v>62</v>
      </c>
      <c r="B28" s="16"/>
      <c r="C28" s="14">
        <f>H28+K28+N28+Q28+T28+W28+Z28+AC28+AF28+AI28+AL28+AO28</f>
        <v>271300</v>
      </c>
      <c r="D28" s="19">
        <v>0</v>
      </c>
      <c r="E28" s="3"/>
      <c r="F28" s="132">
        <v>271300</v>
      </c>
      <c r="G28" s="65"/>
      <c r="H28" s="65">
        <f t="shared" si="0"/>
        <v>271300</v>
      </c>
      <c r="I28" s="132"/>
      <c r="J28" s="66"/>
      <c r="K28" s="66">
        <f t="shared" si="1"/>
        <v>0</v>
      </c>
      <c r="L28" s="132"/>
      <c r="M28" s="65"/>
      <c r="N28" s="65">
        <f t="shared" si="2"/>
        <v>0</v>
      </c>
      <c r="O28" s="132">
        <v>0</v>
      </c>
      <c r="P28" s="66"/>
      <c r="Q28" s="66">
        <f t="shared" si="3"/>
        <v>0</v>
      </c>
      <c r="R28" s="132"/>
      <c r="S28" s="65"/>
      <c r="T28" s="65">
        <f t="shared" si="4"/>
        <v>0</v>
      </c>
      <c r="U28" s="132"/>
      <c r="V28" s="66"/>
      <c r="W28" s="66">
        <f t="shared" si="5"/>
        <v>0</v>
      </c>
      <c r="X28" s="132"/>
      <c r="Y28" s="65"/>
      <c r="Z28" s="65">
        <f t="shared" si="6"/>
        <v>0</v>
      </c>
      <c r="AA28" s="132"/>
      <c r="AB28" s="66"/>
      <c r="AC28" s="66">
        <f t="shared" si="7"/>
        <v>0</v>
      </c>
      <c r="AD28" s="65"/>
      <c r="AE28" s="65"/>
      <c r="AF28" s="65">
        <f t="shared" si="8"/>
        <v>0</v>
      </c>
      <c r="AG28" s="66"/>
      <c r="AH28" s="66"/>
      <c r="AI28" s="66">
        <f t="shared" si="9"/>
        <v>0</v>
      </c>
      <c r="AJ28" s="65"/>
      <c r="AK28" s="65"/>
      <c r="AL28" s="65">
        <f t="shared" si="10"/>
        <v>0</v>
      </c>
      <c r="AM28" s="66"/>
      <c r="AN28" s="66"/>
      <c r="AO28" s="66">
        <f t="shared" si="17"/>
        <v>0</v>
      </c>
    </row>
    <row r="29" spans="1:41" s="58" customFormat="1" ht="16.5" customHeight="1" x14ac:dyDescent="0.3">
      <c r="A29" s="68" t="s">
        <v>61</v>
      </c>
      <c r="B29" s="16"/>
      <c r="C29" s="14">
        <f>H29+K29+N29+Q29+T29+W29+Z29+AC29+AF29+AI29+AL29+AO29</f>
        <v>398443</v>
      </c>
      <c r="D29" s="19">
        <v>45000</v>
      </c>
      <c r="E29" s="3"/>
      <c r="F29" s="132">
        <v>398443</v>
      </c>
      <c r="G29" s="65"/>
      <c r="H29" s="65">
        <f t="shared" si="0"/>
        <v>398443</v>
      </c>
      <c r="I29" s="132"/>
      <c r="J29" s="66"/>
      <c r="K29" s="66">
        <f t="shared" si="1"/>
        <v>0</v>
      </c>
      <c r="L29" s="132"/>
      <c r="M29" s="65"/>
      <c r="N29" s="65">
        <f t="shared" si="2"/>
        <v>0</v>
      </c>
      <c r="O29" s="132"/>
      <c r="P29" s="66"/>
      <c r="Q29" s="66">
        <f t="shared" si="3"/>
        <v>0</v>
      </c>
      <c r="R29" s="132"/>
      <c r="S29" s="65"/>
      <c r="T29" s="65">
        <f t="shared" si="4"/>
        <v>0</v>
      </c>
      <c r="U29" s="132"/>
      <c r="V29" s="66"/>
      <c r="W29" s="66">
        <f t="shared" si="5"/>
        <v>0</v>
      </c>
      <c r="X29" s="132"/>
      <c r="Y29" s="65"/>
      <c r="Z29" s="65">
        <f t="shared" si="6"/>
        <v>0</v>
      </c>
      <c r="AA29" s="132"/>
      <c r="AB29" s="66"/>
      <c r="AC29" s="66">
        <f t="shared" si="7"/>
        <v>0</v>
      </c>
      <c r="AD29" s="65"/>
      <c r="AE29" s="65"/>
      <c r="AF29" s="65">
        <f t="shared" si="8"/>
        <v>0</v>
      </c>
      <c r="AG29" s="66"/>
      <c r="AH29" s="66"/>
      <c r="AI29" s="66">
        <f t="shared" si="9"/>
        <v>0</v>
      </c>
      <c r="AJ29" s="65"/>
      <c r="AK29" s="65"/>
      <c r="AL29" s="65">
        <f t="shared" si="10"/>
        <v>0</v>
      </c>
      <c r="AM29" s="66"/>
      <c r="AN29" s="66"/>
      <c r="AO29" s="66">
        <f t="shared" si="17"/>
        <v>0</v>
      </c>
    </row>
    <row r="30" spans="1:41" s="58" customFormat="1" ht="17.25" x14ac:dyDescent="0.3">
      <c r="A30" s="68" t="s">
        <v>63</v>
      </c>
      <c r="B30" s="16"/>
      <c r="C30" s="14">
        <f>H30+K30+N30+Q30+T30+W30+Z30+AC30+AF30+AI30+AL30+AO30</f>
        <v>1560367</v>
      </c>
      <c r="D30" s="19">
        <v>20000</v>
      </c>
      <c r="E30" s="3"/>
      <c r="F30" s="132">
        <f>144715+234043</f>
        <v>378758</v>
      </c>
      <c r="G30" s="120">
        <v>-144715</v>
      </c>
      <c r="H30" s="65">
        <f t="shared" si="0"/>
        <v>234043</v>
      </c>
      <c r="I30" s="132">
        <v>429843</v>
      </c>
      <c r="J30" s="66"/>
      <c r="K30" s="66">
        <f t="shared" si="1"/>
        <v>429843</v>
      </c>
      <c r="L30" s="132"/>
      <c r="M30" s="65"/>
      <c r="N30" s="65">
        <f t="shared" si="2"/>
        <v>0</v>
      </c>
      <c r="O30" s="132">
        <f>473376+125000+1</f>
        <v>598377</v>
      </c>
      <c r="P30" s="120">
        <v>-125000</v>
      </c>
      <c r="Q30" s="66">
        <f t="shared" si="3"/>
        <v>473377</v>
      </c>
      <c r="R30" s="132">
        <f>249043+42265</f>
        <v>291308</v>
      </c>
      <c r="S30" s="120">
        <v>-42265</v>
      </c>
      <c r="T30" s="65">
        <f t="shared" si="4"/>
        <v>249043</v>
      </c>
      <c r="U30" s="132">
        <v>35859</v>
      </c>
      <c r="V30" s="66"/>
      <c r="W30" s="66">
        <f t="shared" si="5"/>
        <v>35859</v>
      </c>
      <c r="X30" s="132">
        <v>128601</v>
      </c>
      <c r="Y30" s="65"/>
      <c r="Z30" s="65">
        <f t="shared" si="6"/>
        <v>128601</v>
      </c>
      <c r="AA30" s="132">
        <v>9171</v>
      </c>
      <c r="AB30" s="66"/>
      <c r="AC30" s="66">
        <f t="shared" si="7"/>
        <v>9171</v>
      </c>
      <c r="AD30" s="65">
        <v>430</v>
      </c>
      <c r="AE30" s="65"/>
      <c r="AF30" s="65">
        <f t="shared" si="8"/>
        <v>430</v>
      </c>
      <c r="AG30" s="66"/>
      <c r="AH30" s="66"/>
      <c r="AI30" s="66">
        <f t="shared" si="9"/>
        <v>0</v>
      </c>
      <c r="AJ30" s="65"/>
      <c r="AK30" s="65"/>
      <c r="AL30" s="65">
        <f t="shared" si="10"/>
        <v>0</v>
      </c>
      <c r="AM30" s="66"/>
      <c r="AN30" s="66"/>
      <c r="AO30" s="66">
        <f t="shared" si="17"/>
        <v>0</v>
      </c>
    </row>
    <row r="31" spans="1:41" s="58" customFormat="1" ht="17.25" x14ac:dyDescent="0.3">
      <c r="A31" s="4" t="s">
        <v>7</v>
      </c>
      <c r="B31" s="16"/>
      <c r="C31" s="17">
        <f>SUM(C26:C30)</f>
        <v>3387240</v>
      </c>
      <c r="D31" s="17">
        <f>SUM(D27:D30)</f>
        <v>100000</v>
      </c>
      <c r="E31" s="3"/>
      <c r="F31" s="17">
        <f t="shared" ref="F31:AO31" si="18">SUM(F26:F30)</f>
        <v>1421163</v>
      </c>
      <c r="G31" s="17">
        <f t="shared" si="18"/>
        <v>-144715</v>
      </c>
      <c r="H31" s="17">
        <f t="shared" si="18"/>
        <v>1276448</v>
      </c>
      <c r="I31" s="17">
        <f t="shared" si="18"/>
        <v>529130</v>
      </c>
      <c r="J31" s="17">
        <f t="shared" si="18"/>
        <v>0</v>
      </c>
      <c r="K31" s="17">
        <f t="shared" si="18"/>
        <v>529130</v>
      </c>
      <c r="L31" s="17">
        <f t="shared" si="18"/>
        <v>0</v>
      </c>
      <c r="M31" s="17">
        <f t="shared" si="18"/>
        <v>0</v>
      </c>
      <c r="N31" s="17">
        <f t="shared" si="18"/>
        <v>0</v>
      </c>
      <c r="O31" s="17">
        <f t="shared" si="18"/>
        <v>1071649</v>
      </c>
      <c r="P31" s="17">
        <f t="shared" si="18"/>
        <v>-125000</v>
      </c>
      <c r="Q31" s="17">
        <f t="shared" si="18"/>
        <v>946649</v>
      </c>
      <c r="R31" s="17">
        <f t="shared" si="18"/>
        <v>489217</v>
      </c>
      <c r="S31" s="17">
        <f t="shared" si="18"/>
        <v>-42265</v>
      </c>
      <c r="T31" s="17">
        <f t="shared" si="18"/>
        <v>446952</v>
      </c>
      <c r="U31" s="17">
        <f t="shared" si="18"/>
        <v>35859</v>
      </c>
      <c r="V31" s="17">
        <f t="shared" si="18"/>
        <v>0</v>
      </c>
      <c r="W31" s="17">
        <f t="shared" si="18"/>
        <v>35859</v>
      </c>
      <c r="X31" s="17">
        <f t="shared" si="18"/>
        <v>136601</v>
      </c>
      <c r="Y31" s="17">
        <f t="shared" si="18"/>
        <v>0</v>
      </c>
      <c r="Z31" s="17">
        <f t="shared" si="18"/>
        <v>136601</v>
      </c>
      <c r="AA31" s="17">
        <f t="shared" si="18"/>
        <v>15171</v>
      </c>
      <c r="AB31" s="17">
        <f t="shared" si="18"/>
        <v>0</v>
      </c>
      <c r="AC31" s="17">
        <f t="shared" si="18"/>
        <v>15171</v>
      </c>
      <c r="AD31" s="17">
        <f t="shared" si="18"/>
        <v>430</v>
      </c>
      <c r="AE31" s="17">
        <f t="shared" si="18"/>
        <v>0</v>
      </c>
      <c r="AF31" s="17">
        <f t="shared" si="18"/>
        <v>430</v>
      </c>
      <c r="AG31" s="17">
        <f t="shared" si="18"/>
        <v>0</v>
      </c>
      <c r="AH31" s="17">
        <f t="shared" si="18"/>
        <v>0</v>
      </c>
      <c r="AI31" s="17">
        <f t="shared" si="18"/>
        <v>0</v>
      </c>
      <c r="AJ31" s="17">
        <f t="shared" si="18"/>
        <v>0</v>
      </c>
      <c r="AK31" s="17">
        <f t="shared" si="18"/>
        <v>0</v>
      </c>
      <c r="AL31" s="17">
        <f t="shared" si="18"/>
        <v>0</v>
      </c>
      <c r="AM31" s="17">
        <f t="shared" si="18"/>
        <v>0</v>
      </c>
      <c r="AN31" s="17">
        <f t="shared" si="18"/>
        <v>0</v>
      </c>
      <c r="AO31" s="17">
        <f t="shared" si="18"/>
        <v>0</v>
      </c>
    </row>
    <row r="32" spans="1:41" s="58" customFormat="1" ht="17.25" x14ac:dyDescent="0.3">
      <c r="A32" s="15"/>
      <c r="B32" s="16"/>
      <c r="C32" s="20"/>
      <c r="D32" s="20"/>
      <c r="E32" s="3"/>
      <c r="F32" s="65"/>
      <c r="G32" s="65"/>
      <c r="H32" s="65">
        <f t="shared" si="0"/>
        <v>0</v>
      </c>
      <c r="I32" s="66"/>
      <c r="J32" s="66"/>
      <c r="K32" s="66">
        <f t="shared" si="1"/>
        <v>0</v>
      </c>
      <c r="L32" s="65"/>
      <c r="M32" s="65"/>
      <c r="N32" s="65">
        <f t="shared" si="2"/>
        <v>0</v>
      </c>
      <c r="O32" s="66"/>
      <c r="P32" s="66"/>
      <c r="Q32" s="66">
        <f t="shared" si="3"/>
        <v>0</v>
      </c>
      <c r="R32" s="65"/>
      <c r="S32" s="65"/>
      <c r="T32" s="65">
        <f t="shared" si="4"/>
        <v>0</v>
      </c>
      <c r="U32" s="66"/>
      <c r="V32" s="66"/>
      <c r="W32" s="66">
        <f t="shared" si="5"/>
        <v>0</v>
      </c>
      <c r="X32" s="65"/>
      <c r="Y32" s="65"/>
      <c r="Z32" s="65">
        <f t="shared" si="6"/>
        <v>0</v>
      </c>
      <c r="AA32" s="66"/>
      <c r="AB32" s="66"/>
      <c r="AC32" s="66">
        <f t="shared" si="7"/>
        <v>0</v>
      </c>
      <c r="AD32" s="65"/>
      <c r="AE32" s="65"/>
      <c r="AF32" s="65">
        <f t="shared" si="8"/>
        <v>0</v>
      </c>
      <c r="AG32" s="66"/>
      <c r="AH32" s="66"/>
      <c r="AI32" s="66">
        <f t="shared" si="9"/>
        <v>0</v>
      </c>
      <c r="AJ32" s="65"/>
      <c r="AK32" s="65"/>
      <c r="AL32" s="65">
        <f t="shared" si="10"/>
        <v>0</v>
      </c>
      <c r="AM32" s="66"/>
      <c r="AN32" s="66"/>
      <c r="AO32" s="66">
        <f t="shared" ref="AO32" si="19">AM32+AN32</f>
        <v>0</v>
      </c>
    </row>
    <row r="33" spans="1:41" s="58" customFormat="1" ht="17.25" x14ac:dyDescent="0.3">
      <c r="A33" s="4" t="s">
        <v>8</v>
      </c>
      <c r="B33" s="16"/>
      <c r="C33" s="21">
        <f>C22-C31</f>
        <v>246080</v>
      </c>
      <c r="D33" s="21">
        <f>D22-D31</f>
        <v>280000</v>
      </c>
      <c r="E33" s="3"/>
      <c r="F33" s="21">
        <f t="shared" ref="F33:AO33" si="20">F22-F31</f>
        <v>82226</v>
      </c>
      <c r="G33" s="21">
        <f t="shared" si="20"/>
        <v>-122550</v>
      </c>
      <c r="H33" s="21">
        <f t="shared" si="20"/>
        <v>-40324</v>
      </c>
      <c r="I33" s="21">
        <f t="shared" si="20"/>
        <v>-15367</v>
      </c>
      <c r="J33" s="21">
        <f t="shared" si="20"/>
        <v>-46940</v>
      </c>
      <c r="K33" s="21">
        <f t="shared" si="20"/>
        <v>-62307</v>
      </c>
      <c r="L33" s="21">
        <f t="shared" si="20"/>
        <v>0</v>
      </c>
      <c r="M33" s="21">
        <f t="shared" si="20"/>
        <v>0</v>
      </c>
      <c r="N33" s="21">
        <f t="shared" si="20"/>
        <v>0</v>
      </c>
      <c r="O33" s="21">
        <f t="shared" si="20"/>
        <v>-691</v>
      </c>
      <c r="P33" s="21">
        <f t="shared" si="20"/>
        <v>-335470</v>
      </c>
      <c r="Q33" s="21">
        <f t="shared" si="20"/>
        <v>-336161</v>
      </c>
      <c r="R33" s="21">
        <f t="shared" si="20"/>
        <v>616274</v>
      </c>
      <c r="S33" s="21">
        <f t="shared" si="20"/>
        <v>42265</v>
      </c>
      <c r="T33" s="21">
        <f t="shared" si="20"/>
        <v>658539</v>
      </c>
      <c r="U33" s="21">
        <f t="shared" si="20"/>
        <v>8861</v>
      </c>
      <c r="V33" s="21">
        <f t="shared" si="20"/>
        <v>-12860</v>
      </c>
      <c r="W33" s="21">
        <f t="shared" si="20"/>
        <v>-3999</v>
      </c>
      <c r="X33" s="21">
        <f t="shared" si="20"/>
        <v>28799</v>
      </c>
      <c r="Y33" s="21">
        <f t="shared" si="20"/>
        <v>0</v>
      </c>
      <c r="Z33" s="21">
        <f t="shared" si="20"/>
        <v>28799</v>
      </c>
      <c r="AA33" s="21">
        <f t="shared" si="20"/>
        <v>15136</v>
      </c>
      <c r="AB33" s="21">
        <f t="shared" si="20"/>
        <v>-16445</v>
      </c>
      <c r="AC33" s="21">
        <f t="shared" si="20"/>
        <v>-1309</v>
      </c>
      <c r="AD33" s="21">
        <f t="shared" si="20"/>
        <v>1670</v>
      </c>
      <c r="AE33" s="21">
        <f t="shared" si="20"/>
        <v>1172</v>
      </c>
      <c r="AF33" s="21">
        <f t="shared" si="20"/>
        <v>2842</v>
      </c>
      <c r="AG33" s="21">
        <f t="shared" si="20"/>
        <v>0</v>
      </c>
      <c r="AH33" s="21">
        <f t="shared" si="20"/>
        <v>0</v>
      </c>
      <c r="AI33" s="21">
        <f t="shared" si="20"/>
        <v>0</v>
      </c>
      <c r="AJ33" s="21">
        <f t="shared" si="20"/>
        <v>0</v>
      </c>
      <c r="AK33" s="21">
        <f t="shared" si="20"/>
        <v>0</v>
      </c>
      <c r="AL33" s="21">
        <f t="shared" si="20"/>
        <v>0</v>
      </c>
      <c r="AM33" s="21">
        <f t="shared" si="20"/>
        <v>0</v>
      </c>
      <c r="AN33" s="21">
        <f t="shared" si="20"/>
        <v>0</v>
      </c>
      <c r="AO33" s="21">
        <f t="shared" si="20"/>
        <v>0</v>
      </c>
    </row>
    <row r="34" spans="1:41" s="58" customFormat="1" ht="23.1" customHeight="1" x14ac:dyDescent="0.3">
      <c r="A34" s="22"/>
      <c r="B34" s="16"/>
      <c r="C34" s="18"/>
      <c r="D34" s="18"/>
      <c r="E34" s="3"/>
      <c r="F34" s="65"/>
      <c r="G34" s="65"/>
      <c r="H34" s="65"/>
      <c r="I34" s="66"/>
      <c r="J34" s="66"/>
      <c r="K34" s="66"/>
      <c r="L34" s="65"/>
      <c r="M34" s="65"/>
      <c r="N34" s="65"/>
      <c r="O34" s="66"/>
      <c r="P34" s="66"/>
      <c r="Q34" s="66"/>
      <c r="R34" s="65"/>
      <c r="S34" s="65"/>
      <c r="T34" s="65"/>
      <c r="U34" s="66"/>
      <c r="V34" s="66"/>
      <c r="W34" s="66"/>
      <c r="X34" s="65"/>
      <c r="Y34" s="65"/>
      <c r="Z34" s="65"/>
      <c r="AA34" s="66"/>
      <c r="AB34" s="66"/>
      <c r="AC34" s="66"/>
      <c r="AD34" s="65"/>
      <c r="AE34" s="65"/>
      <c r="AF34" s="65"/>
      <c r="AG34" s="66"/>
      <c r="AH34" s="66"/>
      <c r="AI34" s="66"/>
      <c r="AJ34" s="65"/>
      <c r="AK34" s="65"/>
      <c r="AL34" s="65"/>
      <c r="AM34" s="66"/>
      <c r="AN34" s="66"/>
      <c r="AO34" s="66"/>
    </row>
    <row r="35" spans="1:41" s="58" customFormat="1" ht="17.25" x14ac:dyDescent="0.3">
      <c r="A35" s="4" t="s">
        <v>9</v>
      </c>
      <c r="B35" s="16"/>
      <c r="C35" s="19"/>
      <c r="D35" s="19"/>
      <c r="E35" s="3"/>
      <c r="F35" s="65"/>
      <c r="G35" s="65"/>
      <c r="H35" s="65"/>
      <c r="I35" s="66"/>
      <c r="J35" s="66"/>
      <c r="K35" s="66"/>
      <c r="L35" s="65"/>
      <c r="M35" s="65"/>
      <c r="N35" s="65"/>
      <c r="O35" s="66"/>
      <c r="P35" s="66"/>
      <c r="Q35" s="66"/>
      <c r="R35" s="65"/>
      <c r="S35" s="65"/>
      <c r="T35" s="65"/>
      <c r="U35" s="66"/>
      <c r="V35" s="66"/>
      <c r="W35" s="66"/>
      <c r="X35" s="65"/>
      <c r="Y35" s="65"/>
      <c r="Z35" s="65"/>
      <c r="AA35" s="66"/>
      <c r="AB35" s="66"/>
      <c r="AC35" s="66"/>
      <c r="AD35" s="65"/>
      <c r="AE35" s="65"/>
      <c r="AF35" s="65"/>
      <c r="AG35" s="66"/>
      <c r="AH35" s="66"/>
      <c r="AI35" s="66"/>
      <c r="AJ35" s="65"/>
      <c r="AK35" s="65"/>
      <c r="AL35" s="65"/>
      <c r="AM35" s="66"/>
      <c r="AN35" s="66"/>
      <c r="AO35" s="66"/>
    </row>
    <row r="36" spans="1:41" s="58" customFormat="1" ht="9.9499999999999993" customHeight="1" x14ac:dyDescent="0.3">
      <c r="A36" s="4"/>
      <c r="B36" s="16"/>
      <c r="C36" s="19"/>
      <c r="D36" s="19"/>
      <c r="E36" s="3"/>
      <c r="F36" s="65"/>
      <c r="G36" s="65"/>
      <c r="H36" s="65"/>
      <c r="I36" s="66"/>
      <c r="J36" s="66"/>
      <c r="K36" s="66"/>
      <c r="L36" s="65"/>
      <c r="M36" s="65"/>
      <c r="N36" s="65"/>
      <c r="O36" s="66"/>
      <c r="P36" s="66"/>
      <c r="Q36" s="66"/>
      <c r="R36" s="65"/>
      <c r="S36" s="65"/>
      <c r="T36" s="65"/>
      <c r="U36" s="66"/>
      <c r="V36" s="66"/>
      <c r="W36" s="66"/>
      <c r="X36" s="65"/>
      <c r="Y36" s="65"/>
      <c r="Z36" s="65"/>
      <c r="AA36" s="66"/>
      <c r="AB36" s="66"/>
      <c r="AC36" s="66"/>
      <c r="AD36" s="65"/>
      <c r="AE36" s="65"/>
      <c r="AF36" s="65"/>
      <c r="AG36" s="66"/>
      <c r="AH36" s="66"/>
      <c r="AI36" s="66"/>
      <c r="AJ36" s="65"/>
      <c r="AK36" s="65"/>
      <c r="AL36" s="65"/>
      <c r="AM36" s="66"/>
      <c r="AN36" s="66"/>
      <c r="AO36" s="66"/>
    </row>
    <row r="37" spans="1:41" s="58" customFormat="1" ht="17.25" x14ac:dyDescent="0.3">
      <c r="A37" s="15" t="s">
        <v>10</v>
      </c>
      <c r="B37" s="16"/>
      <c r="C37" s="14">
        <f>H37+K37+N37+Q37+T37+W37+Z37+AC37+AF37+AI37+AL37+AO37</f>
        <v>4843</v>
      </c>
      <c r="D37" s="19">
        <v>0</v>
      </c>
      <c r="E37" s="3"/>
      <c r="F37" s="132">
        <v>3136</v>
      </c>
      <c r="G37" s="65"/>
      <c r="H37" s="65">
        <f t="shared" si="0"/>
        <v>3136</v>
      </c>
      <c r="I37" s="132">
        <v>138</v>
      </c>
      <c r="J37" s="66"/>
      <c r="K37" s="66">
        <f t="shared" si="1"/>
        <v>138</v>
      </c>
      <c r="L37" s="132">
        <v>0</v>
      </c>
      <c r="M37" s="65"/>
      <c r="N37" s="65">
        <f t="shared" si="2"/>
        <v>0</v>
      </c>
      <c r="O37" s="132">
        <v>135</v>
      </c>
      <c r="P37" s="66"/>
      <c r="Q37" s="66">
        <f t="shared" si="3"/>
        <v>135</v>
      </c>
      <c r="R37" s="132">
        <v>1354</v>
      </c>
      <c r="S37" s="65"/>
      <c r="T37" s="65">
        <f t="shared" si="4"/>
        <v>1354</v>
      </c>
      <c r="U37" s="132">
        <v>21</v>
      </c>
      <c r="V37" s="66"/>
      <c r="W37" s="66">
        <f t="shared" si="5"/>
        <v>21</v>
      </c>
      <c r="X37" s="132">
        <v>45</v>
      </c>
      <c r="Y37" s="65"/>
      <c r="Z37" s="65">
        <f t="shared" si="6"/>
        <v>45</v>
      </c>
      <c r="AA37" s="132">
        <v>13</v>
      </c>
      <c r="AB37" s="66"/>
      <c r="AC37" s="66">
        <f t="shared" si="7"/>
        <v>13</v>
      </c>
      <c r="AD37" s="65">
        <v>1</v>
      </c>
      <c r="AE37" s="65"/>
      <c r="AF37" s="65">
        <f t="shared" si="8"/>
        <v>1</v>
      </c>
      <c r="AG37" s="66"/>
      <c r="AH37" s="66"/>
      <c r="AI37" s="66">
        <f t="shared" si="9"/>
        <v>0</v>
      </c>
      <c r="AJ37" s="65"/>
      <c r="AK37" s="65"/>
      <c r="AL37" s="65">
        <f t="shared" si="10"/>
        <v>0</v>
      </c>
      <c r="AM37" s="66"/>
      <c r="AN37" s="66"/>
      <c r="AO37" s="66">
        <f t="shared" ref="AO37:AO39" si="21">AM37+AN37</f>
        <v>0</v>
      </c>
    </row>
    <row r="38" spans="1:41" s="58" customFormat="1" ht="17.25" x14ac:dyDescent="0.3">
      <c r="A38" s="68" t="s">
        <v>64</v>
      </c>
      <c r="B38" s="16"/>
      <c r="C38" s="14">
        <f>H38+K38+N38+Q38+T38+W38+Z38+AC38+AF38+AI38+AL38+AO38</f>
        <v>110815</v>
      </c>
      <c r="D38" s="19"/>
      <c r="E38" s="3"/>
      <c r="F38" s="132">
        <v>110539</v>
      </c>
      <c r="G38" s="65"/>
      <c r="H38" s="65">
        <f t="shared" si="0"/>
        <v>110539</v>
      </c>
      <c r="I38" s="132">
        <v>206</v>
      </c>
      <c r="J38" s="66"/>
      <c r="K38" s="66">
        <f t="shared" si="1"/>
        <v>206</v>
      </c>
      <c r="L38" s="132"/>
      <c r="M38" s="65"/>
      <c r="N38" s="65">
        <f t="shared" si="2"/>
        <v>0</v>
      </c>
      <c r="O38" s="132">
        <v>0</v>
      </c>
      <c r="P38" s="66"/>
      <c r="Q38" s="66">
        <f t="shared" si="3"/>
        <v>0</v>
      </c>
      <c r="R38" s="132">
        <v>70</v>
      </c>
      <c r="S38" s="65"/>
      <c r="T38" s="65">
        <f t="shared" si="4"/>
        <v>70</v>
      </c>
      <c r="U38" s="132"/>
      <c r="V38" s="66"/>
      <c r="W38" s="66">
        <f t="shared" si="5"/>
        <v>0</v>
      </c>
      <c r="X38" s="132"/>
      <c r="Y38" s="65"/>
      <c r="Z38" s="65">
        <f t="shared" si="6"/>
        <v>0</v>
      </c>
      <c r="AA38" s="132"/>
      <c r="AB38" s="66"/>
      <c r="AC38" s="66">
        <f t="shared" si="7"/>
        <v>0</v>
      </c>
      <c r="AD38" s="65"/>
      <c r="AE38" s="65"/>
      <c r="AF38" s="65">
        <f t="shared" si="8"/>
        <v>0</v>
      </c>
      <c r="AG38" s="66"/>
      <c r="AH38" s="66"/>
      <c r="AI38" s="66">
        <f t="shared" si="9"/>
        <v>0</v>
      </c>
      <c r="AJ38" s="65"/>
      <c r="AK38" s="65"/>
      <c r="AL38" s="65">
        <f t="shared" si="10"/>
        <v>0</v>
      </c>
      <c r="AM38" s="66"/>
      <c r="AN38" s="66"/>
      <c r="AO38" s="66">
        <f t="shared" si="21"/>
        <v>0</v>
      </c>
    </row>
    <row r="39" spans="1:41" s="58" customFormat="1" ht="17.25" x14ac:dyDescent="0.3">
      <c r="A39" s="68" t="s">
        <v>65</v>
      </c>
      <c r="B39" s="16"/>
      <c r="C39" s="14">
        <f>H39+K39+N39+Q39+T39+W39+Z39+AC39+AF39+AI39+AL39+AO39</f>
        <v>0</v>
      </c>
      <c r="D39" s="19"/>
      <c r="E39" s="3"/>
      <c r="F39" s="132"/>
      <c r="G39" s="65"/>
      <c r="H39" s="65">
        <f t="shared" si="0"/>
        <v>0</v>
      </c>
      <c r="I39" s="132"/>
      <c r="J39" s="66"/>
      <c r="K39" s="66">
        <f t="shared" si="1"/>
        <v>0</v>
      </c>
      <c r="L39" s="132"/>
      <c r="M39" s="65"/>
      <c r="N39" s="65">
        <f t="shared" si="2"/>
        <v>0</v>
      </c>
      <c r="O39" s="132"/>
      <c r="P39" s="66"/>
      <c r="Q39" s="66">
        <f t="shared" si="3"/>
        <v>0</v>
      </c>
      <c r="R39" s="132"/>
      <c r="S39" s="65"/>
      <c r="T39" s="65">
        <f t="shared" si="4"/>
        <v>0</v>
      </c>
      <c r="U39" s="132"/>
      <c r="V39" s="66"/>
      <c r="W39" s="66">
        <f t="shared" si="5"/>
        <v>0</v>
      </c>
      <c r="X39" s="132"/>
      <c r="Y39" s="65"/>
      <c r="Z39" s="65">
        <f t="shared" si="6"/>
        <v>0</v>
      </c>
      <c r="AA39" s="132"/>
      <c r="AB39" s="66"/>
      <c r="AC39" s="66">
        <f t="shared" si="7"/>
        <v>0</v>
      </c>
      <c r="AD39" s="65"/>
      <c r="AE39" s="65"/>
      <c r="AF39" s="65">
        <f t="shared" si="8"/>
        <v>0</v>
      </c>
      <c r="AG39" s="66"/>
      <c r="AH39" s="66"/>
      <c r="AI39" s="66">
        <f t="shared" si="9"/>
        <v>0</v>
      </c>
      <c r="AJ39" s="65"/>
      <c r="AK39" s="65"/>
      <c r="AL39" s="65">
        <f t="shared" si="10"/>
        <v>0</v>
      </c>
      <c r="AM39" s="66"/>
      <c r="AN39" s="66"/>
      <c r="AO39" s="66">
        <f t="shared" si="21"/>
        <v>0</v>
      </c>
    </row>
    <row r="40" spans="1:41" s="58" customFormat="1" ht="21.95" customHeight="1" x14ac:dyDescent="0.3">
      <c r="A40" s="4" t="s">
        <v>11</v>
      </c>
      <c r="B40" s="16"/>
      <c r="C40" s="17">
        <f>C37-C38-C39</f>
        <v>-105972</v>
      </c>
      <c r="D40" s="17">
        <f>SUM(D37:D37)</f>
        <v>0</v>
      </c>
      <c r="E40" s="3"/>
      <c r="F40" s="17">
        <f t="shared" ref="F40:AO40" si="22">F37-F38-F39</f>
        <v>-107403</v>
      </c>
      <c r="G40" s="17">
        <f t="shared" si="22"/>
        <v>0</v>
      </c>
      <c r="H40" s="17">
        <f t="shared" si="22"/>
        <v>-107403</v>
      </c>
      <c r="I40" s="17">
        <f t="shared" si="22"/>
        <v>-68</v>
      </c>
      <c r="J40" s="17">
        <f t="shared" si="22"/>
        <v>0</v>
      </c>
      <c r="K40" s="17">
        <f t="shared" si="22"/>
        <v>-68</v>
      </c>
      <c r="L40" s="17">
        <f t="shared" si="22"/>
        <v>0</v>
      </c>
      <c r="M40" s="17">
        <f t="shared" si="22"/>
        <v>0</v>
      </c>
      <c r="N40" s="17">
        <f t="shared" si="22"/>
        <v>0</v>
      </c>
      <c r="O40" s="17">
        <f t="shared" si="22"/>
        <v>135</v>
      </c>
      <c r="P40" s="17">
        <f t="shared" si="22"/>
        <v>0</v>
      </c>
      <c r="Q40" s="17">
        <f t="shared" si="22"/>
        <v>135</v>
      </c>
      <c r="R40" s="17">
        <f t="shared" si="22"/>
        <v>1284</v>
      </c>
      <c r="S40" s="17">
        <f t="shared" si="22"/>
        <v>0</v>
      </c>
      <c r="T40" s="17">
        <f t="shared" si="22"/>
        <v>1284</v>
      </c>
      <c r="U40" s="17">
        <f t="shared" si="22"/>
        <v>21</v>
      </c>
      <c r="V40" s="17">
        <f t="shared" si="22"/>
        <v>0</v>
      </c>
      <c r="W40" s="17">
        <f t="shared" si="22"/>
        <v>21</v>
      </c>
      <c r="X40" s="17">
        <f t="shared" si="22"/>
        <v>45</v>
      </c>
      <c r="Y40" s="17">
        <f t="shared" si="22"/>
        <v>0</v>
      </c>
      <c r="Z40" s="17">
        <f t="shared" si="22"/>
        <v>45</v>
      </c>
      <c r="AA40" s="17">
        <f t="shared" si="22"/>
        <v>13</v>
      </c>
      <c r="AB40" s="17">
        <f t="shared" si="22"/>
        <v>0</v>
      </c>
      <c r="AC40" s="17">
        <f t="shared" si="22"/>
        <v>13</v>
      </c>
      <c r="AD40" s="17">
        <f t="shared" si="22"/>
        <v>1</v>
      </c>
      <c r="AE40" s="17">
        <f t="shared" si="22"/>
        <v>0</v>
      </c>
      <c r="AF40" s="17">
        <f t="shared" si="22"/>
        <v>1</v>
      </c>
      <c r="AG40" s="17">
        <f t="shared" si="22"/>
        <v>0</v>
      </c>
      <c r="AH40" s="17">
        <f t="shared" si="22"/>
        <v>0</v>
      </c>
      <c r="AI40" s="17">
        <f t="shared" si="22"/>
        <v>0</v>
      </c>
      <c r="AJ40" s="17">
        <f t="shared" si="22"/>
        <v>0</v>
      </c>
      <c r="AK40" s="17">
        <f t="shared" si="22"/>
        <v>0</v>
      </c>
      <c r="AL40" s="17">
        <f t="shared" si="22"/>
        <v>0</v>
      </c>
      <c r="AM40" s="17">
        <f t="shared" si="22"/>
        <v>0</v>
      </c>
      <c r="AN40" s="17">
        <f t="shared" si="22"/>
        <v>0</v>
      </c>
      <c r="AO40" s="17">
        <f t="shared" si="22"/>
        <v>0</v>
      </c>
    </row>
    <row r="41" spans="1:41" s="58" customFormat="1" ht="17.25" x14ac:dyDescent="0.3">
      <c r="A41" s="15"/>
      <c r="B41" s="16"/>
      <c r="C41" s="18"/>
      <c r="D41" s="18"/>
      <c r="E41" s="3"/>
      <c r="F41" s="65"/>
      <c r="G41" s="65"/>
      <c r="H41" s="65">
        <f t="shared" si="0"/>
        <v>0</v>
      </c>
      <c r="I41" s="66"/>
      <c r="J41" s="66"/>
      <c r="K41" s="66">
        <f t="shared" si="1"/>
        <v>0</v>
      </c>
      <c r="L41" s="65"/>
      <c r="M41" s="65"/>
      <c r="N41" s="65">
        <f t="shared" si="2"/>
        <v>0</v>
      </c>
      <c r="O41" s="66"/>
      <c r="P41" s="66"/>
      <c r="Q41" s="66">
        <f t="shared" si="3"/>
        <v>0</v>
      </c>
      <c r="R41" s="65"/>
      <c r="S41" s="65"/>
      <c r="T41" s="65">
        <f t="shared" si="4"/>
        <v>0</v>
      </c>
      <c r="U41" s="66"/>
      <c r="V41" s="66"/>
      <c r="W41" s="66">
        <f t="shared" si="5"/>
        <v>0</v>
      </c>
      <c r="X41" s="65"/>
      <c r="Y41" s="65"/>
      <c r="Z41" s="65">
        <f t="shared" si="6"/>
        <v>0</v>
      </c>
      <c r="AA41" s="66"/>
      <c r="AB41" s="66"/>
      <c r="AC41" s="66">
        <f t="shared" si="7"/>
        <v>0</v>
      </c>
      <c r="AD41" s="65"/>
      <c r="AE41" s="65"/>
      <c r="AF41" s="65">
        <f t="shared" si="8"/>
        <v>0</v>
      </c>
      <c r="AG41" s="66"/>
      <c r="AH41" s="66"/>
      <c r="AI41" s="66">
        <f t="shared" si="9"/>
        <v>0</v>
      </c>
      <c r="AJ41" s="65"/>
      <c r="AK41" s="65"/>
      <c r="AL41" s="65">
        <f t="shared" si="10"/>
        <v>0</v>
      </c>
      <c r="AM41" s="66"/>
      <c r="AN41" s="66"/>
      <c r="AO41" s="66">
        <f t="shared" ref="AO41" si="23">AM41+AN41</f>
        <v>0</v>
      </c>
    </row>
    <row r="42" spans="1:41" s="58" customFormat="1" ht="18" thickBot="1" x14ac:dyDescent="0.35">
      <c r="A42" s="4" t="s">
        <v>12</v>
      </c>
      <c r="B42" s="16"/>
      <c r="C42" s="23">
        <f>C33+C40</f>
        <v>140108</v>
      </c>
      <c r="D42" s="23">
        <f>D33+D40</f>
        <v>280000</v>
      </c>
      <c r="E42" s="3"/>
      <c r="F42" s="23">
        <f t="shared" ref="F42:AO42" si="24">F33+F40</f>
        <v>-25177</v>
      </c>
      <c r="G42" s="23">
        <f t="shared" si="24"/>
        <v>-122550</v>
      </c>
      <c r="H42" s="23">
        <f t="shared" si="24"/>
        <v>-147727</v>
      </c>
      <c r="I42" s="23">
        <f t="shared" si="24"/>
        <v>-15435</v>
      </c>
      <c r="J42" s="23">
        <f t="shared" si="24"/>
        <v>-46940</v>
      </c>
      <c r="K42" s="23">
        <f t="shared" si="24"/>
        <v>-62375</v>
      </c>
      <c r="L42" s="23">
        <f t="shared" si="24"/>
        <v>0</v>
      </c>
      <c r="M42" s="23">
        <f t="shared" si="24"/>
        <v>0</v>
      </c>
      <c r="N42" s="23">
        <f t="shared" si="24"/>
        <v>0</v>
      </c>
      <c r="O42" s="23">
        <f t="shared" si="24"/>
        <v>-556</v>
      </c>
      <c r="P42" s="23">
        <f t="shared" si="24"/>
        <v>-335470</v>
      </c>
      <c r="Q42" s="23">
        <f t="shared" si="24"/>
        <v>-336026</v>
      </c>
      <c r="R42" s="23">
        <f t="shared" si="24"/>
        <v>617558</v>
      </c>
      <c r="S42" s="23">
        <f t="shared" si="24"/>
        <v>42265</v>
      </c>
      <c r="T42" s="23">
        <f t="shared" si="24"/>
        <v>659823</v>
      </c>
      <c r="U42" s="23">
        <f t="shared" si="24"/>
        <v>8882</v>
      </c>
      <c r="V42" s="23">
        <f t="shared" si="24"/>
        <v>-12860</v>
      </c>
      <c r="W42" s="23">
        <f t="shared" si="24"/>
        <v>-3978</v>
      </c>
      <c r="X42" s="23">
        <f t="shared" si="24"/>
        <v>28844</v>
      </c>
      <c r="Y42" s="23">
        <f t="shared" si="24"/>
        <v>0</v>
      </c>
      <c r="Z42" s="23">
        <f t="shared" si="24"/>
        <v>28844</v>
      </c>
      <c r="AA42" s="23">
        <f t="shared" si="24"/>
        <v>15149</v>
      </c>
      <c r="AB42" s="23">
        <f t="shared" si="24"/>
        <v>-16445</v>
      </c>
      <c r="AC42" s="23">
        <f t="shared" si="24"/>
        <v>-1296</v>
      </c>
      <c r="AD42" s="23">
        <f t="shared" si="24"/>
        <v>1671</v>
      </c>
      <c r="AE42" s="23">
        <f t="shared" si="24"/>
        <v>1172</v>
      </c>
      <c r="AF42" s="23">
        <f t="shared" si="24"/>
        <v>2843</v>
      </c>
      <c r="AG42" s="23">
        <f t="shared" si="24"/>
        <v>0</v>
      </c>
      <c r="AH42" s="23">
        <f t="shared" si="24"/>
        <v>0</v>
      </c>
      <c r="AI42" s="23">
        <f t="shared" si="24"/>
        <v>0</v>
      </c>
      <c r="AJ42" s="23">
        <f t="shared" si="24"/>
        <v>0</v>
      </c>
      <c r="AK42" s="23">
        <f t="shared" si="24"/>
        <v>0</v>
      </c>
      <c r="AL42" s="23">
        <f t="shared" si="24"/>
        <v>0</v>
      </c>
      <c r="AM42" s="23">
        <f t="shared" si="24"/>
        <v>0</v>
      </c>
      <c r="AN42" s="23">
        <f t="shared" si="24"/>
        <v>0</v>
      </c>
      <c r="AO42" s="23">
        <f t="shared" si="24"/>
        <v>0</v>
      </c>
    </row>
    <row r="43" spans="1:41" s="58" customFormat="1" ht="18" thickTop="1" x14ac:dyDescent="0.3">
      <c r="A43" s="15"/>
      <c r="B43" s="16"/>
      <c r="C43" s="24"/>
      <c r="D43" s="24"/>
      <c r="E43" s="3"/>
      <c r="F43" s="65"/>
      <c r="G43" s="65"/>
      <c r="H43" s="65"/>
      <c r="I43" s="66"/>
      <c r="J43" s="66"/>
      <c r="K43" s="66"/>
      <c r="L43" s="65"/>
      <c r="M43" s="65"/>
      <c r="N43" s="65"/>
      <c r="O43" s="66"/>
      <c r="P43" s="66"/>
      <c r="Q43" s="66"/>
      <c r="R43" s="65"/>
      <c r="S43" s="65"/>
      <c r="T43" s="65"/>
      <c r="U43" s="66"/>
      <c r="V43" s="66"/>
      <c r="W43" s="66"/>
      <c r="X43" s="65"/>
      <c r="Y43" s="65"/>
      <c r="Z43" s="65"/>
      <c r="AA43" s="66"/>
      <c r="AB43" s="66"/>
      <c r="AC43" s="66"/>
      <c r="AD43" s="65"/>
      <c r="AE43" s="65"/>
      <c r="AF43" s="65"/>
      <c r="AG43" s="66"/>
      <c r="AH43" s="66"/>
      <c r="AI43" s="66"/>
      <c r="AJ43" s="65"/>
      <c r="AK43" s="65"/>
      <c r="AL43" s="65"/>
      <c r="AM43" s="66"/>
      <c r="AN43" s="66"/>
      <c r="AO43" s="66"/>
    </row>
    <row r="44" spans="1:41" s="58" customFormat="1" ht="21.95" customHeight="1" x14ac:dyDescent="0.3">
      <c r="A44" s="15"/>
      <c r="B44" s="16"/>
      <c r="C44" s="24"/>
      <c r="D44" s="24"/>
      <c r="E44" s="3"/>
      <c r="F44" s="65"/>
      <c r="G44" s="65"/>
      <c r="H44" s="65"/>
      <c r="I44" s="66"/>
      <c r="J44" s="66"/>
      <c r="K44" s="66"/>
      <c r="L44" s="65"/>
      <c r="M44" s="65"/>
      <c r="N44" s="65"/>
      <c r="O44" s="66"/>
      <c r="P44" s="66"/>
      <c r="Q44" s="66"/>
      <c r="R44" s="65"/>
      <c r="S44" s="65"/>
      <c r="T44" s="65"/>
      <c r="U44" s="66"/>
      <c r="V44" s="66"/>
      <c r="W44" s="66"/>
      <c r="X44" s="65"/>
      <c r="Y44" s="65"/>
      <c r="Z44" s="65"/>
      <c r="AA44" s="66"/>
      <c r="AB44" s="66"/>
      <c r="AC44" s="66"/>
      <c r="AD44" s="65"/>
      <c r="AE44" s="65"/>
      <c r="AF44" s="65"/>
      <c r="AG44" s="66"/>
      <c r="AH44" s="66"/>
      <c r="AI44" s="66"/>
      <c r="AJ44" s="65"/>
      <c r="AK44" s="65"/>
      <c r="AL44" s="65"/>
      <c r="AM44" s="66"/>
      <c r="AN44" s="66"/>
      <c r="AO44" s="66"/>
    </row>
    <row r="45" spans="1:41" s="58" customFormat="1" ht="17.25" x14ac:dyDescent="0.3">
      <c r="A45" s="4" t="s">
        <v>13</v>
      </c>
      <c r="B45" s="25"/>
      <c r="C45" s="26"/>
      <c r="D45" s="26"/>
      <c r="E45" s="3"/>
      <c r="F45" s="65"/>
      <c r="G45" s="65"/>
      <c r="H45" s="65"/>
      <c r="I45" s="66"/>
      <c r="J45" s="66"/>
      <c r="K45" s="66"/>
      <c r="L45" s="65"/>
      <c r="M45" s="65"/>
      <c r="N45" s="65"/>
      <c r="O45" s="66"/>
      <c r="P45" s="66"/>
      <c r="Q45" s="66"/>
      <c r="R45" s="65"/>
      <c r="S45" s="65"/>
      <c r="T45" s="65"/>
      <c r="U45" s="66"/>
      <c r="V45" s="66"/>
      <c r="W45" s="66"/>
      <c r="X45" s="65"/>
      <c r="Y45" s="65"/>
      <c r="Z45" s="65"/>
      <c r="AA45" s="66"/>
      <c r="AB45" s="66"/>
      <c r="AC45" s="66"/>
      <c r="AD45" s="65"/>
      <c r="AE45" s="65"/>
      <c r="AF45" s="65"/>
      <c r="AG45" s="66"/>
      <c r="AH45" s="66"/>
      <c r="AI45" s="66"/>
      <c r="AJ45" s="65"/>
      <c r="AK45" s="65"/>
      <c r="AL45" s="65"/>
      <c r="AM45" s="66"/>
      <c r="AN45" s="66"/>
      <c r="AO45" s="66"/>
    </row>
    <row r="46" spans="1:41" s="58" customFormat="1" ht="17.25" x14ac:dyDescent="0.3">
      <c r="A46" s="15" t="s">
        <v>14</v>
      </c>
      <c r="B46" s="16"/>
      <c r="C46" s="14">
        <f>H46+K46+N46+Q46+T46+W46+Z46+AC46+AF46+AI46+AL46+AO46</f>
        <v>140108</v>
      </c>
      <c r="D46" s="27">
        <f>D42</f>
        <v>280000</v>
      </c>
      <c r="E46" s="3"/>
      <c r="F46" s="27">
        <f>F42</f>
        <v>-25177</v>
      </c>
      <c r="G46" s="27">
        <f t="shared" ref="G46:AO46" si="25">G42</f>
        <v>-122550</v>
      </c>
      <c r="H46" s="27">
        <f t="shared" si="25"/>
        <v>-147727</v>
      </c>
      <c r="I46" s="27">
        <f t="shared" si="25"/>
        <v>-15435</v>
      </c>
      <c r="J46" s="27">
        <f t="shared" si="25"/>
        <v>-46940</v>
      </c>
      <c r="K46" s="27">
        <f t="shared" si="25"/>
        <v>-62375</v>
      </c>
      <c r="L46" s="27">
        <f t="shared" si="25"/>
        <v>0</v>
      </c>
      <c r="M46" s="27">
        <f t="shared" si="25"/>
        <v>0</v>
      </c>
      <c r="N46" s="27">
        <f>L46+M46</f>
        <v>0</v>
      </c>
      <c r="O46" s="27">
        <f t="shared" si="25"/>
        <v>-556</v>
      </c>
      <c r="P46" s="27">
        <f t="shared" si="25"/>
        <v>-335470</v>
      </c>
      <c r="Q46" s="27">
        <f t="shared" si="25"/>
        <v>-336026</v>
      </c>
      <c r="R46" s="27">
        <f t="shared" si="25"/>
        <v>617558</v>
      </c>
      <c r="S46" s="121">
        <f>S42</f>
        <v>42265</v>
      </c>
      <c r="T46" s="27">
        <f>R46+S46</f>
        <v>659823</v>
      </c>
      <c r="U46" s="27">
        <f t="shared" si="25"/>
        <v>8882</v>
      </c>
      <c r="V46" s="27">
        <f t="shared" si="25"/>
        <v>-12860</v>
      </c>
      <c r="W46" s="27">
        <f t="shared" si="25"/>
        <v>-3978</v>
      </c>
      <c r="X46" s="27">
        <f t="shared" si="25"/>
        <v>28844</v>
      </c>
      <c r="Y46" s="27">
        <f t="shared" si="25"/>
        <v>0</v>
      </c>
      <c r="Z46" s="27">
        <f t="shared" si="25"/>
        <v>28844</v>
      </c>
      <c r="AA46" s="27">
        <f t="shared" si="25"/>
        <v>15149</v>
      </c>
      <c r="AB46" s="27">
        <f t="shared" si="25"/>
        <v>-16445</v>
      </c>
      <c r="AC46" s="27">
        <f t="shared" si="25"/>
        <v>-1296</v>
      </c>
      <c r="AD46" s="27">
        <f t="shared" si="25"/>
        <v>1671</v>
      </c>
      <c r="AE46" s="27">
        <f t="shared" si="25"/>
        <v>1172</v>
      </c>
      <c r="AF46" s="27">
        <f t="shared" si="25"/>
        <v>2843</v>
      </c>
      <c r="AG46" s="27">
        <f t="shared" si="25"/>
        <v>0</v>
      </c>
      <c r="AH46" s="27">
        <f t="shared" si="25"/>
        <v>0</v>
      </c>
      <c r="AI46" s="27">
        <f t="shared" si="25"/>
        <v>0</v>
      </c>
      <c r="AJ46" s="27">
        <f t="shared" si="25"/>
        <v>0</v>
      </c>
      <c r="AK46" s="27">
        <f t="shared" si="25"/>
        <v>0</v>
      </c>
      <c r="AL46" s="27">
        <f t="shared" si="25"/>
        <v>0</v>
      </c>
      <c r="AM46" s="27">
        <f t="shared" si="25"/>
        <v>0</v>
      </c>
      <c r="AN46" s="27">
        <f t="shared" si="25"/>
        <v>0</v>
      </c>
      <c r="AO46" s="27">
        <f t="shared" si="25"/>
        <v>0</v>
      </c>
    </row>
    <row r="47" spans="1:41" s="58" customFormat="1" ht="18.95" customHeight="1" thickBot="1" x14ac:dyDescent="0.35">
      <c r="A47" s="4" t="s">
        <v>15</v>
      </c>
      <c r="B47" s="16"/>
      <c r="C47" s="23">
        <f>SUM(C46:C46)</f>
        <v>140108</v>
      </c>
      <c r="D47" s="23">
        <f>D42</f>
        <v>280000</v>
      </c>
      <c r="E47" s="3"/>
      <c r="F47" s="23">
        <f t="shared" ref="F47:AO47" si="26">SUM(F46:F46)</f>
        <v>-25177</v>
      </c>
      <c r="G47" s="23">
        <f t="shared" si="26"/>
        <v>-122550</v>
      </c>
      <c r="H47" s="23">
        <f t="shared" si="26"/>
        <v>-147727</v>
      </c>
      <c r="I47" s="23">
        <f t="shared" si="26"/>
        <v>-15435</v>
      </c>
      <c r="J47" s="23">
        <f t="shared" si="26"/>
        <v>-46940</v>
      </c>
      <c r="K47" s="23">
        <f t="shared" si="26"/>
        <v>-62375</v>
      </c>
      <c r="L47" s="23">
        <f t="shared" si="26"/>
        <v>0</v>
      </c>
      <c r="M47" s="23">
        <f t="shared" si="26"/>
        <v>0</v>
      </c>
      <c r="N47" s="23">
        <f t="shared" si="26"/>
        <v>0</v>
      </c>
      <c r="O47" s="23">
        <f t="shared" si="26"/>
        <v>-556</v>
      </c>
      <c r="P47" s="23">
        <f t="shared" si="26"/>
        <v>-335470</v>
      </c>
      <c r="Q47" s="23">
        <f t="shared" si="26"/>
        <v>-336026</v>
      </c>
      <c r="R47" s="23">
        <f t="shared" si="26"/>
        <v>617558</v>
      </c>
      <c r="S47" s="23">
        <f t="shared" si="26"/>
        <v>42265</v>
      </c>
      <c r="T47" s="23">
        <f t="shared" si="26"/>
        <v>659823</v>
      </c>
      <c r="U47" s="23">
        <f t="shared" si="26"/>
        <v>8882</v>
      </c>
      <c r="V47" s="23">
        <f t="shared" si="26"/>
        <v>-12860</v>
      </c>
      <c r="W47" s="23">
        <f t="shared" si="26"/>
        <v>-3978</v>
      </c>
      <c r="X47" s="23">
        <f t="shared" si="26"/>
        <v>28844</v>
      </c>
      <c r="Y47" s="23">
        <f t="shared" si="26"/>
        <v>0</v>
      </c>
      <c r="Z47" s="23">
        <f t="shared" si="26"/>
        <v>28844</v>
      </c>
      <c r="AA47" s="23">
        <f t="shared" si="26"/>
        <v>15149</v>
      </c>
      <c r="AB47" s="23">
        <f t="shared" si="26"/>
        <v>-16445</v>
      </c>
      <c r="AC47" s="23">
        <f t="shared" si="26"/>
        <v>-1296</v>
      </c>
      <c r="AD47" s="23">
        <f t="shared" si="26"/>
        <v>1671</v>
      </c>
      <c r="AE47" s="23">
        <f t="shared" si="26"/>
        <v>1172</v>
      </c>
      <c r="AF47" s="23">
        <f t="shared" si="26"/>
        <v>2843</v>
      </c>
      <c r="AG47" s="23">
        <f t="shared" si="26"/>
        <v>0</v>
      </c>
      <c r="AH47" s="23">
        <f t="shared" si="26"/>
        <v>0</v>
      </c>
      <c r="AI47" s="23">
        <f t="shared" si="26"/>
        <v>0</v>
      </c>
      <c r="AJ47" s="23">
        <f t="shared" si="26"/>
        <v>0</v>
      </c>
      <c r="AK47" s="23">
        <f t="shared" si="26"/>
        <v>0</v>
      </c>
      <c r="AL47" s="23">
        <f t="shared" si="26"/>
        <v>0</v>
      </c>
      <c r="AM47" s="23">
        <f t="shared" si="26"/>
        <v>0</v>
      </c>
      <c r="AN47" s="23">
        <f t="shared" si="26"/>
        <v>0</v>
      </c>
      <c r="AO47" s="23">
        <f t="shared" si="26"/>
        <v>0</v>
      </c>
    </row>
    <row r="48" spans="1:41" s="58" customFormat="1" ht="18.95" customHeight="1" thickTop="1" x14ac:dyDescent="0.3">
      <c r="A48" s="4"/>
      <c r="B48" s="16"/>
      <c r="C48" s="28"/>
      <c r="D48" s="29"/>
      <c r="E48" s="3"/>
      <c r="F48" s="65"/>
      <c r="G48" s="65"/>
      <c r="H48" s="65"/>
      <c r="I48" s="66"/>
      <c r="J48" s="66"/>
      <c r="K48" s="66"/>
      <c r="L48" s="65"/>
      <c r="M48" s="65"/>
      <c r="N48" s="65"/>
      <c r="O48" s="66"/>
      <c r="P48" s="66"/>
      <c r="Q48" s="66"/>
      <c r="R48" s="65"/>
      <c r="S48" s="65"/>
      <c r="T48" s="65"/>
      <c r="U48" s="66"/>
      <c r="V48" s="66"/>
      <c r="W48" s="66"/>
      <c r="X48" s="65"/>
      <c r="Y48" s="65"/>
      <c r="Z48" s="65"/>
      <c r="AA48" s="66"/>
      <c r="AB48" s="66"/>
      <c r="AC48" s="66"/>
      <c r="AD48" s="65"/>
      <c r="AE48" s="65"/>
      <c r="AF48" s="65"/>
      <c r="AG48" s="66"/>
      <c r="AH48" s="66"/>
      <c r="AI48" s="66"/>
      <c r="AJ48" s="65"/>
      <c r="AK48" s="65"/>
      <c r="AL48" s="65"/>
      <c r="AM48" s="66"/>
      <c r="AN48" s="66"/>
      <c r="AO48" s="66"/>
    </row>
    <row r="49" spans="1:41" s="58" customFormat="1" ht="18.95" customHeight="1" x14ac:dyDescent="0.3">
      <c r="A49" s="4"/>
      <c r="B49" s="16"/>
      <c r="C49" s="28"/>
      <c r="D49" s="29"/>
      <c r="E49" s="3"/>
      <c r="F49" s="65"/>
      <c r="G49" s="65"/>
      <c r="H49" s="65"/>
      <c r="I49" s="66"/>
      <c r="J49" s="66"/>
      <c r="K49" s="66"/>
      <c r="L49" s="65"/>
      <c r="M49" s="65"/>
      <c r="N49" s="65"/>
      <c r="O49" s="66"/>
      <c r="P49" s="66"/>
      <c r="Q49" s="66"/>
      <c r="R49" s="65"/>
      <c r="S49" s="65"/>
      <c r="T49" s="65"/>
      <c r="U49" s="66"/>
      <c r="V49" s="66"/>
      <c r="W49" s="66"/>
      <c r="X49" s="65"/>
      <c r="Y49" s="65"/>
      <c r="Z49" s="65"/>
      <c r="AA49" s="66"/>
      <c r="AB49" s="66"/>
      <c r="AC49" s="66"/>
      <c r="AD49" s="65"/>
      <c r="AE49" s="65"/>
      <c r="AF49" s="65"/>
      <c r="AG49" s="66"/>
      <c r="AH49" s="66"/>
      <c r="AI49" s="66"/>
      <c r="AJ49" s="65"/>
      <c r="AK49" s="65"/>
      <c r="AL49" s="65"/>
      <c r="AM49" s="66"/>
      <c r="AN49" s="66"/>
      <c r="AO49" s="66"/>
    </row>
    <row r="50" spans="1:41" s="58" customFormat="1" ht="30" customHeight="1" x14ac:dyDescent="0.4">
      <c r="A50" s="1" t="str">
        <f>A1</f>
        <v>Otta Idrettslag - med undergrupper</v>
      </c>
      <c r="B50" s="16"/>
      <c r="C50" s="28"/>
      <c r="D50" s="29"/>
      <c r="E50" s="3"/>
      <c r="F50" s="65"/>
      <c r="G50" s="65"/>
      <c r="H50" s="65"/>
      <c r="I50" s="66"/>
      <c r="J50" s="66"/>
      <c r="K50" s="66"/>
      <c r="L50" s="65"/>
      <c r="M50" s="65"/>
      <c r="N50" s="65"/>
      <c r="O50" s="66"/>
      <c r="P50" s="66"/>
      <c r="Q50" s="66"/>
      <c r="R50" s="65"/>
      <c r="S50" s="65"/>
      <c r="T50" s="65"/>
      <c r="U50" s="66"/>
      <c r="V50" s="66"/>
      <c r="W50" s="66"/>
      <c r="X50" s="65"/>
      <c r="Y50" s="65"/>
      <c r="Z50" s="65"/>
      <c r="AA50" s="66"/>
      <c r="AB50" s="66"/>
      <c r="AC50" s="66"/>
      <c r="AD50" s="65"/>
      <c r="AE50" s="65"/>
      <c r="AF50" s="65"/>
      <c r="AG50" s="66"/>
      <c r="AH50" s="66"/>
      <c r="AI50" s="66"/>
      <c r="AJ50" s="65"/>
      <c r="AK50" s="65"/>
      <c r="AL50" s="65"/>
      <c r="AM50" s="66"/>
      <c r="AN50" s="66"/>
      <c r="AO50" s="66"/>
    </row>
    <row r="51" spans="1:41" s="58" customFormat="1" x14ac:dyDescent="0.2">
      <c r="A51" s="15"/>
      <c r="B51" s="147"/>
      <c r="C51" s="14"/>
      <c r="D51" s="14"/>
      <c r="E51" s="3"/>
      <c r="F51" s="65"/>
      <c r="G51" s="65"/>
      <c r="H51" s="65"/>
      <c r="I51" s="66"/>
      <c r="J51" s="66"/>
      <c r="K51" s="66"/>
      <c r="L51" s="65"/>
      <c r="M51" s="65"/>
      <c r="N51" s="65"/>
      <c r="O51" s="66"/>
      <c r="P51" s="66"/>
      <c r="Q51" s="66"/>
      <c r="R51" s="65"/>
      <c r="S51" s="65"/>
      <c r="T51" s="65"/>
      <c r="U51" s="66"/>
      <c r="V51" s="66"/>
      <c r="W51" s="66"/>
      <c r="X51" s="65"/>
      <c r="Y51" s="65"/>
      <c r="Z51" s="65"/>
      <c r="AA51" s="66"/>
      <c r="AB51" s="66"/>
      <c r="AC51" s="66"/>
      <c r="AD51" s="65"/>
      <c r="AE51" s="65"/>
      <c r="AF51" s="65"/>
      <c r="AG51" s="66"/>
      <c r="AH51" s="66"/>
      <c r="AI51" s="66"/>
      <c r="AJ51" s="65"/>
      <c r="AK51" s="65"/>
      <c r="AL51" s="65"/>
      <c r="AM51" s="66"/>
      <c r="AN51" s="66"/>
      <c r="AO51" s="66"/>
    </row>
    <row r="52" spans="1:41" s="58" customFormat="1" x14ac:dyDescent="0.2">
      <c r="A52" s="4" t="s">
        <v>16</v>
      </c>
      <c r="B52" s="147"/>
      <c r="C52" s="30"/>
      <c r="D52" s="30"/>
      <c r="E52" s="3"/>
      <c r="F52" s="65"/>
      <c r="G52" s="65"/>
      <c r="H52" s="65"/>
      <c r="I52" s="66"/>
      <c r="J52" s="66"/>
      <c r="K52" s="66"/>
      <c r="L52" s="65"/>
      <c r="M52" s="65"/>
      <c r="N52" s="65"/>
      <c r="O52" s="66"/>
      <c r="P52" s="66"/>
      <c r="Q52" s="66"/>
      <c r="R52" s="65"/>
      <c r="S52" s="65"/>
      <c r="T52" s="65"/>
      <c r="U52" s="66"/>
      <c r="V52" s="66"/>
      <c r="W52" s="66"/>
      <c r="X52" s="65"/>
      <c r="Y52" s="65"/>
      <c r="Z52" s="65"/>
      <c r="AA52" s="66"/>
      <c r="AB52" s="66"/>
      <c r="AC52" s="66"/>
      <c r="AD52" s="65"/>
      <c r="AE52" s="65"/>
      <c r="AF52" s="65"/>
      <c r="AG52" s="66"/>
      <c r="AH52" s="66"/>
      <c r="AI52" s="66"/>
      <c r="AJ52" s="65"/>
      <c r="AK52" s="65"/>
      <c r="AL52" s="65"/>
      <c r="AM52" s="66"/>
      <c r="AN52" s="66"/>
      <c r="AO52" s="66"/>
    </row>
    <row r="53" spans="1:41" s="58" customFormat="1" x14ac:dyDescent="0.2">
      <c r="A53" s="31"/>
      <c r="B53" s="32"/>
      <c r="C53" s="33">
        <f>C4</f>
        <v>2017</v>
      </c>
      <c r="D53" s="34"/>
      <c r="E53" s="3"/>
      <c r="F53" s="65"/>
      <c r="G53" s="65"/>
      <c r="H53" s="65"/>
      <c r="I53" s="66"/>
      <c r="J53" s="66"/>
      <c r="K53" s="66"/>
      <c r="L53" s="65"/>
      <c r="M53" s="65"/>
      <c r="N53" s="65"/>
      <c r="O53" s="66"/>
      <c r="P53" s="66"/>
      <c r="Q53" s="66"/>
      <c r="R53" s="65"/>
      <c r="S53" s="65"/>
      <c r="T53" s="65"/>
      <c r="U53" s="66"/>
      <c r="V53" s="66"/>
      <c r="W53" s="66"/>
      <c r="X53" s="65"/>
      <c r="Y53" s="65"/>
      <c r="Z53" s="65"/>
      <c r="AA53" s="66"/>
      <c r="AB53" s="66"/>
      <c r="AC53" s="66"/>
      <c r="AD53" s="65"/>
      <c r="AE53" s="65"/>
      <c r="AF53" s="65"/>
      <c r="AG53" s="66"/>
      <c r="AH53" s="66"/>
      <c r="AI53" s="66"/>
      <c r="AJ53" s="65"/>
      <c r="AK53" s="65"/>
      <c r="AL53" s="65"/>
      <c r="AM53" s="66"/>
      <c r="AN53" s="66"/>
      <c r="AO53" s="66"/>
    </row>
    <row r="54" spans="1:41" s="58" customFormat="1" ht="15.75" x14ac:dyDescent="0.25">
      <c r="A54" s="35" t="s">
        <v>17</v>
      </c>
      <c r="B54" s="36" t="s">
        <v>4</v>
      </c>
      <c r="C54" s="37"/>
      <c r="D54" s="38"/>
      <c r="E54" s="3"/>
      <c r="F54" s="65"/>
      <c r="G54" s="65"/>
      <c r="H54" s="65"/>
      <c r="I54" s="66"/>
      <c r="J54" s="66"/>
      <c r="K54" s="66"/>
      <c r="L54" s="65"/>
      <c r="M54" s="65"/>
      <c r="N54" s="65"/>
      <c r="O54" s="66"/>
      <c r="P54" s="66"/>
      <c r="Q54" s="66"/>
      <c r="R54" s="65"/>
      <c r="S54" s="65"/>
      <c r="T54" s="65"/>
      <c r="U54" s="66"/>
      <c r="V54" s="66"/>
      <c r="W54" s="66"/>
      <c r="X54" s="65"/>
      <c r="Y54" s="65"/>
      <c r="Z54" s="65"/>
      <c r="AA54" s="66"/>
      <c r="AB54" s="66"/>
      <c r="AC54" s="66"/>
      <c r="AD54" s="65"/>
      <c r="AE54" s="65"/>
      <c r="AF54" s="65"/>
      <c r="AG54" s="66"/>
      <c r="AH54" s="66"/>
      <c r="AI54" s="66"/>
      <c r="AJ54" s="65"/>
      <c r="AK54" s="65"/>
      <c r="AL54" s="65"/>
      <c r="AM54" s="66"/>
      <c r="AN54" s="66"/>
      <c r="AO54" s="66"/>
    </row>
    <row r="55" spans="1:41" s="58" customFormat="1" ht="19.5" customHeight="1" x14ac:dyDescent="0.25">
      <c r="A55" s="39"/>
      <c r="B55" s="40"/>
      <c r="C55" s="41"/>
      <c r="D55" s="38"/>
      <c r="E55" s="3"/>
      <c r="F55" s="65"/>
      <c r="G55" s="65"/>
      <c r="H55" s="65"/>
      <c r="I55" s="66"/>
      <c r="J55" s="66"/>
      <c r="K55" s="66"/>
      <c r="L55" s="65"/>
      <c r="M55" s="65"/>
      <c r="N55" s="65"/>
      <c r="O55" s="66"/>
      <c r="P55" s="66"/>
      <c r="Q55" s="66"/>
      <c r="R55" s="65"/>
      <c r="S55" s="65"/>
      <c r="T55" s="65"/>
      <c r="U55" s="66"/>
      <c r="V55" s="66"/>
      <c r="W55" s="66"/>
      <c r="X55" s="65"/>
      <c r="Y55" s="65"/>
      <c r="Z55" s="65"/>
      <c r="AA55" s="66"/>
      <c r="AB55" s="66"/>
      <c r="AC55" s="66"/>
      <c r="AD55" s="65"/>
      <c r="AE55" s="65"/>
      <c r="AF55" s="65"/>
      <c r="AG55" s="66"/>
      <c r="AH55" s="66"/>
      <c r="AI55" s="66"/>
      <c r="AJ55" s="65"/>
      <c r="AK55" s="65"/>
      <c r="AL55" s="65"/>
      <c r="AM55" s="66"/>
      <c r="AN55" s="66"/>
      <c r="AO55" s="66"/>
    </row>
    <row r="56" spans="1:41" s="58" customFormat="1" ht="15.75" x14ac:dyDescent="0.25">
      <c r="A56" s="4" t="s">
        <v>18</v>
      </c>
      <c r="B56" s="16"/>
      <c r="C56" s="41"/>
      <c r="D56" s="42"/>
      <c r="E56" s="3"/>
      <c r="F56" s="65"/>
      <c r="G56" s="65"/>
      <c r="H56" s="65"/>
      <c r="I56" s="66"/>
      <c r="J56" s="66"/>
      <c r="K56" s="66"/>
      <c r="L56" s="65"/>
      <c r="M56" s="65"/>
      <c r="N56" s="65"/>
      <c r="O56" s="66"/>
      <c r="P56" s="66"/>
      <c r="Q56" s="66"/>
      <c r="R56" s="65"/>
      <c r="S56" s="65"/>
      <c r="T56" s="65"/>
      <c r="U56" s="66"/>
      <c r="V56" s="66"/>
      <c r="W56" s="66"/>
      <c r="X56" s="65"/>
      <c r="Y56" s="65"/>
      <c r="Z56" s="65"/>
      <c r="AA56" s="66"/>
      <c r="AB56" s="66"/>
      <c r="AC56" s="66"/>
      <c r="AD56" s="65"/>
      <c r="AE56" s="65"/>
      <c r="AF56" s="65"/>
      <c r="AG56" s="66"/>
      <c r="AH56" s="66"/>
      <c r="AI56" s="66"/>
      <c r="AJ56" s="65"/>
      <c r="AK56" s="65"/>
      <c r="AL56" s="65"/>
      <c r="AM56" s="66"/>
      <c r="AN56" s="66"/>
      <c r="AO56" s="66"/>
    </row>
    <row r="57" spans="1:41" s="58" customFormat="1" ht="14.1" customHeight="1" x14ac:dyDescent="0.3">
      <c r="A57" s="15"/>
      <c r="B57" s="16"/>
      <c r="C57" s="41"/>
      <c r="D57" s="28"/>
      <c r="E57" s="3"/>
      <c r="F57" s="65"/>
      <c r="G57" s="65"/>
      <c r="H57" s="65"/>
      <c r="I57" s="66"/>
      <c r="J57" s="66"/>
      <c r="K57" s="66"/>
      <c r="L57" s="65"/>
      <c r="M57" s="65"/>
      <c r="N57" s="65"/>
      <c r="O57" s="66"/>
      <c r="P57" s="66"/>
      <c r="Q57" s="66"/>
      <c r="R57" s="65"/>
      <c r="S57" s="65"/>
      <c r="T57" s="65"/>
      <c r="U57" s="66"/>
      <c r="V57" s="66"/>
      <c r="W57" s="66"/>
      <c r="X57" s="65"/>
      <c r="Y57" s="65"/>
      <c r="Z57" s="65"/>
      <c r="AA57" s="66"/>
      <c r="AB57" s="66"/>
      <c r="AC57" s="66"/>
      <c r="AD57" s="65"/>
      <c r="AE57" s="65"/>
      <c r="AF57" s="65"/>
      <c r="AG57" s="66"/>
      <c r="AH57" s="66"/>
      <c r="AI57" s="66"/>
      <c r="AJ57" s="65"/>
      <c r="AK57" s="65"/>
      <c r="AL57" s="65"/>
      <c r="AM57" s="66"/>
      <c r="AN57" s="66"/>
      <c r="AO57" s="66"/>
    </row>
    <row r="58" spans="1:41" s="58" customFormat="1" ht="15.75" x14ac:dyDescent="0.25">
      <c r="A58" s="70" t="s">
        <v>70</v>
      </c>
      <c r="B58" s="16"/>
      <c r="C58" s="41"/>
      <c r="D58" s="42"/>
      <c r="E58" s="3"/>
      <c r="F58" s="65"/>
      <c r="G58" s="65"/>
      <c r="H58" s="65"/>
      <c r="I58" s="66"/>
      <c r="J58" s="66"/>
      <c r="K58" s="66"/>
      <c r="L58" s="65"/>
      <c r="M58" s="65"/>
      <c r="N58" s="65"/>
      <c r="O58" s="66"/>
      <c r="P58" s="66"/>
      <c r="Q58" s="66"/>
      <c r="R58" s="65"/>
      <c r="S58" s="65"/>
      <c r="T58" s="65"/>
      <c r="U58" s="66"/>
      <c r="V58" s="66"/>
      <c r="W58" s="66"/>
      <c r="X58" s="65"/>
      <c r="Y58" s="65"/>
      <c r="Z58" s="65"/>
      <c r="AA58" s="66"/>
      <c r="AB58" s="66"/>
      <c r="AC58" s="66"/>
      <c r="AD58" s="65"/>
      <c r="AE58" s="65"/>
      <c r="AF58" s="65"/>
      <c r="AG58" s="66"/>
      <c r="AH58" s="66"/>
      <c r="AI58" s="66"/>
      <c r="AJ58" s="65"/>
      <c r="AK58" s="65"/>
      <c r="AL58" s="65"/>
      <c r="AM58" s="66"/>
      <c r="AN58" s="66"/>
      <c r="AO58" s="66"/>
    </row>
    <row r="59" spans="1:41" s="58" customFormat="1" ht="15.75" x14ac:dyDescent="0.25">
      <c r="A59" s="68" t="s">
        <v>66</v>
      </c>
      <c r="B59" s="16"/>
      <c r="C59" s="14">
        <f>H59+K59+N59+Q59+T59+W59+Z59+AC59+AF59+AI59+AL59+AO59</f>
        <v>2702100</v>
      </c>
      <c r="D59" s="42"/>
      <c r="E59" s="3"/>
      <c r="F59" s="134">
        <v>2702100</v>
      </c>
      <c r="G59" s="65"/>
      <c r="H59" s="65">
        <f t="shared" ref="H59:H95" si="27">F59+G59</f>
        <v>2702100</v>
      </c>
      <c r="I59" s="132">
        <v>0</v>
      </c>
      <c r="J59" s="66"/>
      <c r="K59" s="66">
        <f t="shared" ref="K59:K95" si="28">I59+J59</f>
        <v>0</v>
      </c>
      <c r="L59" s="132">
        <v>0</v>
      </c>
      <c r="M59" s="65"/>
      <c r="N59" s="65">
        <f t="shared" ref="N59:N95" si="29">L59+M59</f>
        <v>0</v>
      </c>
      <c r="O59" s="132">
        <v>0</v>
      </c>
      <c r="P59" s="66"/>
      <c r="Q59" s="66">
        <f t="shared" ref="Q59:Q95" si="30">O59+P59</f>
        <v>0</v>
      </c>
      <c r="R59" s="132">
        <v>0</v>
      </c>
      <c r="S59" s="65"/>
      <c r="T59" s="65">
        <f t="shared" ref="T59:T95" si="31">R59+S59</f>
        <v>0</v>
      </c>
      <c r="U59" s="66"/>
      <c r="V59" s="66"/>
      <c r="W59" s="66">
        <f t="shared" ref="W59:W95" si="32">U59+V59</f>
        <v>0</v>
      </c>
      <c r="X59" s="65"/>
      <c r="Y59" s="65"/>
      <c r="Z59" s="65">
        <f t="shared" ref="Z59:Z95" si="33">X59+Y59</f>
        <v>0</v>
      </c>
      <c r="AA59" s="66"/>
      <c r="AB59" s="66"/>
      <c r="AC59" s="66">
        <f t="shared" ref="AC59:AC95" si="34">AA59+AB59</f>
        <v>0</v>
      </c>
      <c r="AD59" s="65"/>
      <c r="AE59" s="65"/>
      <c r="AF59" s="65">
        <f t="shared" ref="AF59:AF95" si="35">AD59+AE59</f>
        <v>0</v>
      </c>
      <c r="AG59" s="66"/>
      <c r="AH59" s="66"/>
      <c r="AI59" s="66">
        <f t="shared" ref="AI59:AI95" si="36">AG59+AH59</f>
        <v>0</v>
      </c>
      <c r="AJ59" s="65"/>
      <c r="AK59" s="65"/>
      <c r="AL59" s="65">
        <f t="shared" ref="AL59:AL95" si="37">AJ59+AK59</f>
        <v>0</v>
      </c>
      <c r="AM59" s="66"/>
      <c r="AN59" s="66"/>
      <c r="AO59" s="66">
        <f t="shared" ref="AO59:AO60" si="38">AM59+AN59</f>
        <v>0</v>
      </c>
    </row>
    <row r="60" spans="1:41" s="58" customFormat="1" ht="17.25" x14ac:dyDescent="0.3">
      <c r="A60" s="68" t="s">
        <v>67</v>
      </c>
      <c r="B60" s="16"/>
      <c r="C60" s="14">
        <f>H60+K60+N60+Q60+T60+W60+Z60+AC60+AF60+AI60+AL60+AO60</f>
        <v>14000</v>
      </c>
      <c r="D60" s="24"/>
      <c r="E60" s="3"/>
      <c r="F60" s="134">
        <v>14000</v>
      </c>
      <c r="G60" s="65"/>
      <c r="H60" s="65">
        <f t="shared" si="27"/>
        <v>14000</v>
      </c>
      <c r="I60" s="132">
        <v>0</v>
      </c>
      <c r="J60" s="66"/>
      <c r="K60" s="66">
        <f t="shared" si="28"/>
        <v>0</v>
      </c>
      <c r="L60" s="132">
        <v>0</v>
      </c>
      <c r="M60" s="65"/>
      <c r="N60" s="65">
        <f t="shared" si="29"/>
        <v>0</v>
      </c>
      <c r="O60" s="132">
        <v>0</v>
      </c>
      <c r="P60" s="66"/>
      <c r="Q60" s="66">
        <f t="shared" si="30"/>
        <v>0</v>
      </c>
      <c r="R60" s="132">
        <v>0</v>
      </c>
      <c r="S60" s="65"/>
      <c r="T60" s="65">
        <f t="shared" si="31"/>
        <v>0</v>
      </c>
      <c r="U60" s="66"/>
      <c r="V60" s="66"/>
      <c r="W60" s="66">
        <f t="shared" si="32"/>
        <v>0</v>
      </c>
      <c r="X60" s="65"/>
      <c r="Y60" s="65"/>
      <c r="Z60" s="65">
        <f t="shared" si="33"/>
        <v>0</v>
      </c>
      <c r="AA60" s="66"/>
      <c r="AB60" s="66"/>
      <c r="AC60" s="66">
        <f t="shared" si="34"/>
        <v>0</v>
      </c>
      <c r="AD60" s="65"/>
      <c r="AE60" s="65"/>
      <c r="AF60" s="65">
        <f t="shared" si="35"/>
        <v>0</v>
      </c>
      <c r="AG60" s="66"/>
      <c r="AH60" s="66"/>
      <c r="AI60" s="66">
        <f t="shared" si="36"/>
        <v>0</v>
      </c>
      <c r="AJ60" s="65"/>
      <c r="AK60" s="65"/>
      <c r="AL60" s="65">
        <f t="shared" si="37"/>
        <v>0</v>
      </c>
      <c r="AM60" s="66"/>
      <c r="AN60" s="66"/>
      <c r="AO60" s="66">
        <f t="shared" si="38"/>
        <v>0</v>
      </c>
    </row>
    <row r="61" spans="1:41" s="58" customFormat="1" ht="17.25" x14ac:dyDescent="0.3">
      <c r="A61" s="4" t="s">
        <v>19</v>
      </c>
      <c r="B61" s="16"/>
      <c r="C61" s="17">
        <f>SUM(C59:C60)</f>
        <v>2716100</v>
      </c>
      <c r="D61" s="28"/>
      <c r="E61" s="3"/>
      <c r="F61" s="17">
        <f>SUM(F59:F60)</f>
        <v>2716100</v>
      </c>
      <c r="G61" s="17">
        <f t="shared" ref="G61:AO61" si="39">SUM(G59:G60)</f>
        <v>0</v>
      </c>
      <c r="H61" s="17">
        <f t="shared" si="39"/>
        <v>2716100</v>
      </c>
      <c r="I61" s="17">
        <f t="shared" si="39"/>
        <v>0</v>
      </c>
      <c r="J61" s="17">
        <f t="shared" si="39"/>
        <v>0</v>
      </c>
      <c r="K61" s="17">
        <f t="shared" si="39"/>
        <v>0</v>
      </c>
      <c r="L61" s="17">
        <f t="shared" si="39"/>
        <v>0</v>
      </c>
      <c r="M61" s="17">
        <f t="shared" si="39"/>
        <v>0</v>
      </c>
      <c r="N61" s="17">
        <f t="shared" si="39"/>
        <v>0</v>
      </c>
      <c r="O61" s="17">
        <f t="shared" si="39"/>
        <v>0</v>
      </c>
      <c r="P61" s="17">
        <f t="shared" si="39"/>
        <v>0</v>
      </c>
      <c r="Q61" s="17">
        <f t="shared" si="39"/>
        <v>0</v>
      </c>
      <c r="R61" s="17">
        <f t="shared" si="39"/>
        <v>0</v>
      </c>
      <c r="S61" s="17">
        <f t="shared" si="39"/>
        <v>0</v>
      </c>
      <c r="T61" s="17">
        <f t="shared" si="39"/>
        <v>0</v>
      </c>
      <c r="U61" s="17">
        <f t="shared" si="39"/>
        <v>0</v>
      </c>
      <c r="V61" s="17">
        <f t="shared" si="39"/>
        <v>0</v>
      </c>
      <c r="W61" s="17">
        <f t="shared" si="39"/>
        <v>0</v>
      </c>
      <c r="X61" s="17">
        <f t="shared" si="39"/>
        <v>0</v>
      </c>
      <c r="Y61" s="17">
        <f t="shared" si="39"/>
        <v>0</v>
      </c>
      <c r="Z61" s="17">
        <f t="shared" si="39"/>
        <v>0</v>
      </c>
      <c r="AA61" s="17">
        <f t="shared" si="39"/>
        <v>0</v>
      </c>
      <c r="AB61" s="17">
        <f t="shared" si="39"/>
        <v>0</v>
      </c>
      <c r="AC61" s="17">
        <f t="shared" si="39"/>
        <v>0</v>
      </c>
      <c r="AD61" s="17">
        <f t="shared" si="39"/>
        <v>0</v>
      </c>
      <c r="AE61" s="17">
        <f t="shared" si="39"/>
        <v>0</v>
      </c>
      <c r="AF61" s="17">
        <f t="shared" si="39"/>
        <v>0</v>
      </c>
      <c r="AG61" s="17">
        <f t="shared" si="39"/>
        <v>0</v>
      </c>
      <c r="AH61" s="17">
        <f t="shared" si="39"/>
        <v>0</v>
      </c>
      <c r="AI61" s="17">
        <f t="shared" si="39"/>
        <v>0</v>
      </c>
      <c r="AJ61" s="17">
        <f t="shared" si="39"/>
        <v>0</v>
      </c>
      <c r="AK61" s="17">
        <f t="shared" si="39"/>
        <v>0</v>
      </c>
      <c r="AL61" s="17">
        <f t="shared" si="39"/>
        <v>0</v>
      </c>
      <c r="AM61" s="17">
        <f t="shared" si="39"/>
        <v>0</v>
      </c>
      <c r="AN61" s="17">
        <f t="shared" si="39"/>
        <v>0</v>
      </c>
      <c r="AO61" s="17">
        <f t="shared" si="39"/>
        <v>0</v>
      </c>
    </row>
    <row r="62" spans="1:41" s="58" customFormat="1" ht="17.25" x14ac:dyDescent="0.3">
      <c r="A62" s="4"/>
      <c r="B62" s="16"/>
      <c r="C62" s="19"/>
      <c r="D62" s="28"/>
      <c r="E62" s="3"/>
      <c r="F62" s="65"/>
      <c r="G62" s="65"/>
      <c r="H62" s="65"/>
      <c r="I62" s="66"/>
      <c r="J62" s="66"/>
      <c r="K62" s="66"/>
      <c r="L62" s="65"/>
      <c r="M62" s="65"/>
      <c r="N62" s="65"/>
      <c r="O62" s="66"/>
      <c r="P62" s="66"/>
      <c r="Q62" s="66"/>
      <c r="R62" s="65"/>
      <c r="S62" s="65"/>
      <c r="T62" s="65"/>
      <c r="U62" s="66"/>
      <c r="V62" s="66"/>
      <c r="W62" s="66"/>
      <c r="X62" s="65"/>
      <c r="Y62" s="65"/>
      <c r="Z62" s="65"/>
      <c r="AA62" s="66"/>
      <c r="AB62" s="66"/>
      <c r="AC62" s="66"/>
      <c r="AD62" s="65"/>
      <c r="AE62" s="65"/>
      <c r="AF62" s="65"/>
      <c r="AG62" s="66"/>
      <c r="AH62" s="66"/>
      <c r="AI62" s="66"/>
      <c r="AJ62" s="65"/>
      <c r="AK62" s="65"/>
      <c r="AL62" s="65"/>
      <c r="AM62" s="66"/>
      <c r="AN62" s="66"/>
      <c r="AO62" s="66"/>
    </row>
    <row r="63" spans="1:41" s="58" customFormat="1" ht="17.25" x14ac:dyDescent="0.3">
      <c r="A63" s="70" t="s">
        <v>71</v>
      </c>
      <c r="B63" s="16"/>
      <c r="C63" s="19"/>
      <c r="D63" s="28"/>
      <c r="E63" s="3"/>
      <c r="F63" s="65"/>
      <c r="G63" s="65"/>
      <c r="H63" s="65"/>
      <c r="I63" s="66"/>
      <c r="J63" s="66"/>
      <c r="K63" s="66"/>
      <c r="L63" s="65"/>
      <c r="M63" s="65"/>
      <c r="N63" s="65"/>
      <c r="O63" s="66"/>
      <c r="P63" s="66"/>
      <c r="Q63" s="66"/>
      <c r="R63" s="65"/>
      <c r="S63" s="65"/>
      <c r="T63" s="65"/>
      <c r="U63" s="66"/>
      <c r="V63" s="66"/>
      <c r="W63" s="66"/>
      <c r="X63" s="65"/>
      <c r="Y63" s="65"/>
      <c r="Z63" s="65"/>
      <c r="AA63" s="66"/>
      <c r="AB63" s="66"/>
      <c r="AC63" s="66"/>
      <c r="AD63" s="65"/>
      <c r="AE63" s="65"/>
      <c r="AF63" s="65"/>
      <c r="AG63" s="66"/>
      <c r="AH63" s="66"/>
      <c r="AI63" s="66"/>
      <c r="AJ63" s="65"/>
      <c r="AK63" s="65"/>
      <c r="AL63" s="65"/>
      <c r="AM63" s="66"/>
      <c r="AN63" s="66"/>
      <c r="AO63" s="66"/>
    </row>
    <row r="64" spans="1:41" s="58" customFormat="1" ht="17.25" x14ac:dyDescent="0.3">
      <c r="A64" s="68" t="s">
        <v>72</v>
      </c>
      <c r="B64" s="16"/>
      <c r="C64" s="14">
        <f>H64+K64+N64+Q64+T64+W64+Z64+AC64+AF64+AI64+AL64+AO64</f>
        <v>0</v>
      </c>
      <c r="D64" s="28"/>
      <c r="E64" s="3"/>
      <c r="F64" s="65">
        <v>0</v>
      </c>
      <c r="G64" s="65"/>
      <c r="H64" s="65">
        <f t="shared" si="27"/>
        <v>0</v>
      </c>
      <c r="I64" s="66">
        <v>0</v>
      </c>
      <c r="J64" s="66"/>
      <c r="K64" s="66"/>
      <c r="L64" s="65">
        <v>0</v>
      </c>
      <c r="M64" s="65"/>
      <c r="N64" s="65"/>
      <c r="O64" s="66">
        <v>0</v>
      </c>
      <c r="P64" s="66"/>
      <c r="Q64" s="66"/>
      <c r="R64" s="65">
        <v>0</v>
      </c>
      <c r="S64" s="65"/>
      <c r="T64" s="65"/>
      <c r="U64" s="66"/>
      <c r="V64" s="66"/>
      <c r="W64" s="66"/>
      <c r="X64" s="65"/>
      <c r="Y64" s="65"/>
      <c r="Z64" s="65"/>
      <c r="AA64" s="66"/>
      <c r="AB64" s="66"/>
      <c r="AC64" s="66"/>
      <c r="AD64" s="65"/>
      <c r="AE64" s="65"/>
      <c r="AF64" s="65"/>
      <c r="AG64" s="66"/>
      <c r="AH64" s="66"/>
      <c r="AI64" s="66"/>
      <c r="AJ64" s="65"/>
      <c r="AK64" s="65"/>
      <c r="AL64" s="65"/>
      <c r="AM64" s="66"/>
      <c r="AN64" s="66"/>
      <c r="AO64" s="66"/>
    </row>
    <row r="65" spans="1:41" s="58" customFormat="1" ht="17.25" x14ac:dyDescent="0.3">
      <c r="A65" s="71" t="s">
        <v>73</v>
      </c>
      <c r="B65" s="16"/>
      <c r="C65" s="17">
        <f>SUM(C63:C64)</f>
        <v>0</v>
      </c>
      <c r="D65" s="28"/>
      <c r="E65" s="3"/>
      <c r="F65" s="17">
        <f>SUM(F63:F64)</f>
        <v>0</v>
      </c>
      <c r="G65" s="17">
        <f t="shared" ref="G65:AO65" si="40">SUM(G63:G64)</f>
        <v>0</v>
      </c>
      <c r="H65" s="17">
        <f t="shared" si="40"/>
        <v>0</v>
      </c>
      <c r="I65" s="17">
        <f t="shared" si="40"/>
        <v>0</v>
      </c>
      <c r="J65" s="17">
        <f t="shared" si="40"/>
        <v>0</v>
      </c>
      <c r="K65" s="17">
        <f t="shared" si="40"/>
        <v>0</v>
      </c>
      <c r="L65" s="17">
        <f t="shared" si="40"/>
        <v>0</v>
      </c>
      <c r="M65" s="17">
        <f t="shared" si="40"/>
        <v>0</v>
      </c>
      <c r="N65" s="17">
        <f t="shared" si="40"/>
        <v>0</v>
      </c>
      <c r="O65" s="17">
        <f t="shared" si="40"/>
        <v>0</v>
      </c>
      <c r="P65" s="17">
        <f t="shared" si="40"/>
        <v>0</v>
      </c>
      <c r="Q65" s="17">
        <f t="shared" si="40"/>
        <v>0</v>
      </c>
      <c r="R65" s="17">
        <f t="shared" si="40"/>
        <v>0</v>
      </c>
      <c r="S65" s="17">
        <f t="shared" si="40"/>
        <v>0</v>
      </c>
      <c r="T65" s="17">
        <f t="shared" si="40"/>
        <v>0</v>
      </c>
      <c r="U65" s="17">
        <f t="shared" si="40"/>
        <v>0</v>
      </c>
      <c r="V65" s="17">
        <f t="shared" si="40"/>
        <v>0</v>
      </c>
      <c r="W65" s="17">
        <f t="shared" si="40"/>
        <v>0</v>
      </c>
      <c r="X65" s="17">
        <f t="shared" si="40"/>
        <v>0</v>
      </c>
      <c r="Y65" s="17">
        <f t="shared" si="40"/>
        <v>0</v>
      </c>
      <c r="Z65" s="17">
        <f t="shared" si="40"/>
        <v>0</v>
      </c>
      <c r="AA65" s="17">
        <f t="shared" si="40"/>
        <v>0</v>
      </c>
      <c r="AB65" s="17">
        <f t="shared" si="40"/>
        <v>0</v>
      </c>
      <c r="AC65" s="17">
        <f t="shared" si="40"/>
        <v>0</v>
      </c>
      <c r="AD65" s="17">
        <f t="shared" si="40"/>
        <v>0</v>
      </c>
      <c r="AE65" s="17">
        <f t="shared" si="40"/>
        <v>0</v>
      </c>
      <c r="AF65" s="17">
        <f t="shared" si="40"/>
        <v>0</v>
      </c>
      <c r="AG65" s="17">
        <f t="shared" si="40"/>
        <v>0</v>
      </c>
      <c r="AH65" s="17">
        <f t="shared" si="40"/>
        <v>0</v>
      </c>
      <c r="AI65" s="17">
        <f t="shared" si="40"/>
        <v>0</v>
      </c>
      <c r="AJ65" s="17">
        <f t="shared" si="40"/>
        <v>0</v>
      </c>
      <c r="AK65" s="17">
        <f t="shared" si="40"/>
        <v>0</v>
      </c>
      <c r="AL65" s="17">
        <f t="shared" si="40"/>
        <v>0</v>
      </c>
      <c r="AM65" s="17">
        <f t="shared" si="40"/>
        <v>0</v>
      </c>
      <c r="AN65" s="17">
        <f t="shared" si="40"/>
        <v>0</v>
      </c>
      <c r="AO65" s="17">
        <f t="shared" si="40"/>
        <v>0</v>
      </c>
    </row>
    <row r="66" spans="1:41" s="58" customFormat="1" ht="18.95" customHeight="1" x14ac:dyDescent="0.3">
      <c r="A66" s="70" t="s">
        <v>68</v>
      </c>
      <c r="B66" s="16"/>
      <c r="C66" s="17">
        <f>C61+C65</f>
        <v>2716100</v>
      </c>
      <c r="D66" s="28"/>
      <c r="E66" s="3"/>
      <c r="F66" s="17">
        <f>F61+F65</f>
        <v>2716100</v>
      </c>
      <c r="G66" s="17">
        <f t="shared" ref="G66:AO66" si="41">G61+G65</f>
        <v>0</v>
      </c>
      <c r="H66" s="17">
        <f t="shared" si="41"/>
        <v>2716100</v>
      </c>
      <c r="I66" s="17">
        <f t="shared" si="41"/>
        <v>0</v>
      </c>
      <c r="J66" s="17">
        <f t="shared" si="41"/>
        <v>0</v>
      </c>
      <c r="K66" s="17">
        <f t="shared" si="41"/>
        <v>0</v>
      </c>
      <c r="L66" s="17">
        <f t="shared" si="41"/>
        <v>0</v>
      </c>
      <c r="M66" s="17">
        <f t="shared" si="41"/>
        <v>0</v>
      </c>
      <c r="N66" s="17">
        <f t="shared" si="41"/>
        <v>0</v>
      </c>
      <c r="O66" s="17">
        <f t="shared" si="41"/>
        <v>0</v>
      </c>
      <c r="P66" s="17">
        <f t="shared" si="41"/>
        <v>0</v>
      </c>
      <c r="Q66" s="17">
        <f t="shared" si="41"/>
        <v>0</v>
      </c>
      <c r="R66" s="17">
        <f t="shared" si="41"/>
        <v>0</v>
      </c>
      <c r="S66" s="17">
        <f t="shared" si="41"/>
        <v>0</v>
      </c>
      <c r="T66" s="17">
        <f t="shared" si="41"/>
        <v>0</v>
      </c>
      <c r="U66" s="17">
        <f t="shared" si="41"/>
        <v>0</v>
      </c>
      <c r="V66" s="17">
        <f t="shared" si="41"/>
        <v>0</v>
      </c>
      <c r="W66" s="17">
        <f t="shared" si="41"/>
        <v>0</v>
      </c>
      <c r="X66" s="17">
        <f t="shared" si="41"/>
        <v>0</v>
      </c>
      <c r="Y66" s="17">
        <f t="shared" si="41"/>
        <v>0</v>
      </c>
      <c r="Z66" s="17">
        <f t="shared" si="41"/>
        <v>0</v>
      </c>
      <c r="AA66" s="17">
        <f t="shared" si="41"/>
        <v>0</v>
      </c>
      <c r="AB66" s="17">
        <f t="shared" si="41"/>
        <v>0</v>
      </c>
      <c r="AC66" s="17">
        <f t="shared" si="41"/>
        <v>0</v>
      </c>
      <c r="AD66" s="17">
        <f t="shared" si="41"/>
        <v>0</v>
      </c>
      <c r="AE66" s="17">
        <f t="shared" si="41"/>
        <v>0</v>
      </c>
      <c r="AF66" s="17">
        <f t="shared" si="41"/>
        <v>0</v>
      </c>
      <c r="AG66" s="17">
        <f t="shared" si="41"/>
        <v>0</v>
      </c>
      <c r="AH66" s="17">
        <f t="shared" si="41"/>
        <v>0</v>
      </c>
      <c r="AI66" s="17">
        <f t="shared" si="41"/>
        <v>0</v>
      </c>
      <c r="AJ66" s="17">
        <f t="shared" si="41"/>
        <v>0</v>
      </c>
      <c r="AK66" s="17">
        <f t="shared" si="41"/>
        <v>0</v>
      </c>
      <c r="AL66" s="17">
        <f t="shared" si="41"/>
        <v>0</v>
      </c>
      <c r="AM66" s="17">
        <f t="shared" si="41"/>
        <v>0</v>
      </c>
      <c r="AN66" s="17">
        <f t="shared" si="41"/>
        <v>0</v>
      </c>
      <c r="AO66" s="17">
        <f t="shared" si="41"/>
        <v>0</v>
      </c>
    </row>
    <row r="67" spans="1:41" s="58" customFormat="1" ht="18.95" customHeight="1" x14ac:dyDescent="0.3">
      <c r="A67" s="15"/>
      <c r="B67" s="16"/>
      <c r="C67" s="28"/>
      <c r="D67" s="28"/>
      <c r="E67" s="3"/>
      <c r="F67" s="65"/>
      <c r="G67" s="65"/>
      <c r="H67" s="65"/>
      <c r="I67" s="66"/>
      <c r="J67" s="66"/>
      <c r="K67" s="66"/>
      <c r="L67" s="65"/>
      <c r="M67" s="65"/>
      <c r="N67" s="65"/>
      <c r="O67" s="66"/>
      <c r="P67" s="66"/>
      <c r="Q67" s="66"/>
      <c r="R67" s="65"/>
      <c r="S67" s="65"/>
      <c r="T67" s="65"/>
      <c r="U67" s="66"/>
      <c r="V67" s="66"/>
      <c r="W67" s="66"/>
      <c r="X67" s="65"/>
      <c r="Y67" s="65"/>
      <c r="Z67" s="65"/>
      <c r="AA67" s="66"/>
      <c r="AB67" s="66"/>
      <c r="AC67" s="66"/>
      <c r="AD67" s="65"/>
      <c r="AE67" s="65"/>
      <c r="AF67" s="65"/>
      <c r="AG67" s="66"/>
      <c r="AH67" s="66"/>
      <c r="AI67" s="66"/>
      <c r="AJ67" s="65"/>
      <c r="AK67" s="65"/>
      <c r="AL67" s="65"/>
      <c r="AM67" s="66"/>
      <c r="AN67" s="66"/>
      <c r="AO67" s="66"/>
    </row>
    <row r="68" spans="1:41" s="58" customFormat="1" ht="17.25" x14ac:dyDescent="0.3">
      <c r="A68" s="70" t="s">
        <v>74</v>
      </c>
      <c r="B68" s="16"/>
      <c r="C68" s="43"/>
      <c r="D68" s="44"/>
      <c r="E68" s="3"/>
      <c r="F68" s="65"/>
      <c r="G68" s="65"/>
      <c r="H68" s="65"/>
      <c r="I68" s="66"/>
      <c r="J68" s="66"/>
      <c r="K68" s="66"/>
      <c r="L68" s="65"/>
      <c r="M68" s="65"/>
      <c r="N68" s="65"/>
      <c r="O68" s="66"/>
      <c r="P68" s="66"/>
      <c r="Q68" s="66"/>
      <c r="R68" s="65"/>
      <c r="S68" s="65"/>
      <c r="T68" s="65"/>
      <c r="U68" s="66"/>
      <c r="V68" s="66"/>
      <c r="W68" s="66"/>
      <c r="X68" s="65"/>
      <c r="Y68" s="65"/>
      <c r="Z68" s="65"/>
      <c r="AA68" s="66"/>
      <c r="AB68" s="66"/>
      <c r="AC68" s="66"/>
      <c r="AD68" s="65"/>
      <c r="AE68" s="65"/>
      <c r="AF68" s="65"/>
      <c r="AG68" s="66"/>
      <c r="AH68" s="66"/>
      <c r="AI68" s="66"/>
      <c r="AJ68" s="65"/>
      <c r="AK68" s="65"/>
      <c r="AL68" s="65"/>
      <c r="AM68" s="66"/>
      <c r="AN68" s="66"/>
      <c r="AO68" s="66"/>
    </row>
    <row r="69" spans="1:41" s="58" customFormat="1" ht="17.25" x14ac:dyDescent="0.3">
      <c r="A69" s="15" t="s">
        <v>21</v>
      </c>
      <c r="B69" s="16"/>
      <c r="C69" s="14">
        <f t="shared" ref="C69" si="42">H69+K69+N69+Q69+T69+W69+Z69+AC69+AF69+AI69+AL69</f>
        <v>0</v>
      </c>
      <c r="D69" s="45"/>
      <c r="E69" s="3"/>
      <c r="F69" s="132">
        <v>0</v>
      </c>
      <c r="G69" s="65"/>
      <c r="H69" s="65">
        <f t="shared" si="27"/>
        <v>0</v>
      </c>
      <c r="I69" s="132">
        <v>0</v>
      </c>
      <c r="J69" s="66"/>
      <c r="K69" s="66">
        <f t="shared" si="28"/>
        <v>0</v>
      </c>
      <c r="L69" s="65">
        <v>0</v>
      </c>
      <c r="M69" s="65"/>
      <c r="N69" s="65">
        <f t="shared" si="29"/>
        <v>0</v>
      </c>
      <c r="O69" s="132">
        <v>0</v>
      </c>
      <c r="P69" s="66"/>
      <c r="Q69" s="66">
        <f t="shared" si="30"/>
        <v>0</v>
      </c>
      <c r="R69" s="132">
        <v>0</v>
      </c>
      <c r="S69" s="65"/>
      <c r="T69" s="65">
        <f t="shared" si="31"/>
        <v>0</v>
      </c>
      <c r="U69" s="132"/>
      <c r="V69" s="66"/>
      <c r="W69" s="66">
        <f t="shared" si="32"/>
        <v>0</v>
      </c>
      <c r="X69" s="132"/>
      <c r="Y69" s="65"/>
      <c r="Z69" s="65">
        <f t="shared" si="33"/>
        <v>0</v>
      </c>
      <c r="AA69" s="132"/>
      <c r="AB69" s="66"/>
      <c r="AC69" s="66">
        <f t="shared" si="34"/>
        <v>0</v>
      </c>
      <c r="AD69" s="65"/>
      <c r="AE69" s="65"/>
      <c r="AF69" s="65">
        <f t="shared" si="35"/>
        <v>0</v>
      </c>
      <c r="AG69" s="66"/>
      <c r="AH69" s="66"/>
      <c r="AI69" s="66">
        <f t="shared" si="36"/>
        <v>0</v>
      </c>
      <c r="AJ69" s="65"/>
      <c r="AK69" s="65"/>
      <c r="AL69" s="65">
        <f t="shared" si="37"/>
        <v>0</v>
      </c>
      <c r="AM69" s="66"/>
      <c r="AN69" s="66"/>
      <c r="AO69" s="66">
        <f t="shared" ref="AO69:AO72" si="43">AM69+AN69</f>
        <v>0</v>
      </c>
    </row>
    <row r="70" spans="1:41" s="58" customFormat="1" ht="17.25" x14ac:dyDescent="0.3">
      <c r="A70" s="15" t="s">
        <v>22</v>
      </c>
      <c r="B70" s="16"/>
      <c r="C70" s="14">
        <f>H70+K70+N70+Q70+T70+W70+Z70+AC70+AF70+AI70+AL70+AO70</f>
        <v>47953</v>
      </c>
      <c r="D70" s="24"/>
      <c r="E70" s="3"/>
      <c r="F70" s="132">
        <v>39753</v>
      </c>
      <c r="G70" s="65"/>
      <c r="H70" s="65">
        <f t="shared" si="27"/>
        <v>39753</v>
      </c>
      <c r="I70" s="132">
        <v>8200</v>
      </c>
      <c r="J70" s="66"/>
      <c r="K70" s="66">
        <f t="shared" si="28"/>
        <v>8200</v>
      </c>
      <c r="L70" s="65">
        <v>0</v>
      </c>
      <c r="M70" s="65"/>
      <c r="N70" s="65">
        <f t="shared" si="29"/>
        <v>0</v>
      </c>
      <c r="O70" s="132">
        <v>0</v>
      </c>
      <c r="P70" s="66"/>
      <c r="Q70" s="66">
        <f t="shared" si="30"/>
        <v>0</v>
      </c>
      <c r="R70" s="132">
        <v>0</v>
      </c>
      <c r="S70" s="65"/>
      <c r="T70" s="65">
        <f t="shared" si="31"/>
        <v>0</v>
      </c>
      <c r="U70" s="132"/>
      <c r="V70" s="66"/>
      <c r="W70" s="66">
        <f t="shared" si="32"/>
        <v>0</v>
      </c>
      <c r="X70" s="132"/>
      <c r="Y70" s="65"/>
      <c r="Z70" s="65">
        <f t="shared" si="33"/>
        <v>0</v>
      </c>
      <c r="AA70" s="132">
        <v>0</v>
      </c>
      <c r="AB70" s="66"/>
      <c r="AC70" s="66">
        <f t="shared" si="34"/>
        <v>0</v>
      </c>
      <c r="AD70" s="65"/>
      <c r="AE70" s="65"/>
      <c r="AF70" s="65">
        <f t="shared" si="35"/>
        <v>0</v>
      </c>
      <c r="AG70" s="66"/>
      <c r="AH70" s="66"/>
      <c r="AI70" s="66">
        <f t="shared" si="36"/>
        <v>0</v>
      </c>
      <c r="AJ70" s="65"/>
      <c r="AK70" s="65"/>
      <c r="AL70" s="65">
        <f t="shared" si="37"/>
        <v>0</v>
      </c>
      <c r="AM70" s="66"/>
      <c r="AN70" s="66"/>
      <c r="AO70" s="66">
        <f t="shared" si="43"/>
        <v>0</v>
      </c>
    </row>
    <row r="71" spans="1:41" s="58" customFormat="1" ht="17.25" x14ac:dyDescent="0.3">
      <c r="A71" s="15" t="s">
        <v>23</v>
      </c>
      <c r="B71" s="16"/>
      <c r="C71" s="14">
        <f>H71+K71+N71+Q71+T71+W71+Z71+AC71+AF71+AI71+AL71+AO71</f>
        <v>28413</v>
      </c>
      <c r="D71" s="24"/>
      <c r="E71" s="3"/>
      <c r="F71" s="132">
        <v>126455</v>
      </c>
      <c r="G71" s="120">
        <v>-100000</v>
      </c>
      <c r="H71" s="65">
        <f t="shared" si="27"/>
        <v>26455</v>
      </c>
      <c r="I71" s="132">
        <v>46940</v>
      </c>
      <c r="J71" s="120">
        <v>-46940</v>
      </c>
      <c r="K71" s="66">
        <f t="shared" si="28"/>
        <v>0</v>
      </c>
      <c r="L71" s="65">
        <v>0</v>
      </c>
      <c r="M71" s="65"/>
      <c r="N71" s="65">
        <f t="shared" si="29"/>
        <v>0</v>
      </c>
      <c r="O71" s="132">
        <v>471829</v>
      </c>
      <c r="P71" s="120">
        <v>-471829</v>
      </c>
      <c r="Q71" s="66">
        <f t="shared" si="30"/>
        <v>0</v>
      </c>
      <c r="R71" s="132">
        <v>0</v>
      </c>
      <c r="S71" s="65"/>
      <c r="T71" s="65">
        <f t="shared" si="31"/>
        <v>0</v>
      </c>
      <c r="U71" s="132">
        <v>14818</v>
      </c>
      <c r="V71" s="120">
        <v>-12860</v>
      </c>
      <c r="W71" s="66">
        <f t="shared" si="32"/>
        <v>1958</v>
      </c>
      <c r="X71" s="132"/>
      <c r="Y71" s="65"/>
      <c r="Z71" s="65">
        <f t="shared" si="33"/>
        <v>0</v>
      </c>
      <c r="AA71" s="132">
        <v>16445</v>
      </c>
      <c r="AB71" s="120">
        <v>-16445</v>
      </c>
      <c r="AC71" s="66">
        <f t="shared" si="34"/>
        <v>0</v>
      </c>
      <c r="AD71" s="65"/>
      <c r="AE71" s="65"/>
      <c r="AF71" s="65">
        <f t="shared" si="35"/>
        <v>0</v>
      </c>
      <c r="AG71" s="66"/>
      <c r="AH71" s="66"/>
      <c r="AI71" s="66">
        <f t="shared" si="36"/>
        <v>0</v>
      </c>
      <c r="AJ71" s="65"/>
      <c r="AK71" s="65"/>
      <c r="AL71" s="65">
        <f t="shared" si="37"/>
        <v>0</v>
      </c>
      <c r="AM71" s="66"/>
      <c r="AN71" s="66"/>
      <c r="AO71" s="66">
        <f t="shared" si="43"/>
        <v>0</v>
      </c>
    </row>
    <row r="72" spans="1:41" s="58" customFormat="1" ht="17.25" x14ac:dyDescent="0.3">
      <c r="A72" s="15" t="s">
        <v>24</v>
      </c>
      <c r="B72" s="16"/>
      <c r="C72" s="14">
        <f>H72+K72+N72+Q72+T72+W72+Z72+AC72+AF72+AI72+AL72+AO72</f>
        <v>2943843</v>
      </c>
      <c r="D72" s="24"/>
      <c r="E72" s="3"/>
      <c r="F72" s="132">
        <v>842276</v>
      </c>
      <c r="G72" s="65"/>
      <c r="H72" s="65">
        <f t="shared" si="27"/>
        <v>842276</v>
      </c>
      <c r="I72" s="132">
        <v>308157</v>
      </c>
      <c r="J72" s="66"/>
      <c r="K72" s="66">
        <f t="shared" si="28"/>
        <v>308157</v>
      </c>
      <c r="L72" s="65">
        <v>0</v>
      </c>
      <c r="M72" s="65"/>
      <c r="N72" s="65">
        <f t="shared" si="29"/>
        <v>0</v>
      </c>
      <c r="O72" s="132">
        <v>142665</v>
      </c>
      <c r="P72" s="66"/>
      <c r="Q72" s="66">
        <f t="shared" si="30"/>
        <v>142665</v>
      </c>
      <c r="R72" s="132">
        <v>1467285</v>
      </c>
      <c r="S72" s="65"/>
      <c r="T72" s="65">
        <f t="shared" si="31"/>
        <v>1467285</v>
      </c>
      <c r="U72" s="132">
        <v>50655</v>
      </c>
      <c r="V72" s="66"/>
      <c r="W72" s="66">
        <f t="shared" si="32"/>
        <v>50655</v>
      </c>
      <c r="X72" s="132">
        <v>97339</v>
      </c>
      <c r="Y72" s="65"/>
      <c r="Z72" s="65">
        <f t="shared" si="33"/>
        <v>97339</v>
      </c>
      <c r="AA72" s="132">
        <v>32623</v>
      </c>
      <c r="AB72" s="66"/>
      <c r="AC72" s="66">
        <f t="shared" si="34"/>
        <v>32623</v>
      </c>
      <c r="AD72" s="65">
        <v>2843</v>
      </c>
      <c r="AE72" s="65"/>
      <c r="AF72" s="65">
        <f t="shared" si="35"/>
        <v>2843</v>
      </c>
      <c r="AG72" s="66"/>
      <c r="AH72" s="66"/>
      <c r="AI72" s="66">
        <f t="shared" si="36"/>
        <v>0</v>
      </c>
      <c r="AJ72" s="65"/>
      <c r="AK72" s="65"/>
      <c r="AL72" s="65">
        <f t="shared" si="37"/>
        <v>0</v>
      </c>
      <c r="AM72" s="66"/>
      <c r="AN72" s="66"/>
      <c r="AO72" s="66">
        <f t="shared" si="43"/>
        <v>0</v>
      </c>
    </row>
    <row r="73" spans="1:41" s="58" customFormat="1" ht="18.95" customHeight="1" x14ac:dyDescent="0.3">
      <c r="A73" s="4" t="s">
        <v>25</v>
      </c>
      <c r="B73" s="16"/>
      <c r="C73" s="17">
        <f>SUM(C69:C72)</f>
        <v>3020209</v>
      </c>
      <c r="D73" s="28"/>
      <c r="E73" s="3"/>
      <c r="F73" s="17">
        <f>SUM(F69:F72)</f>
        <v>1008484</v>
      </c>
      <c r="G73" s="17">
        <f t="shared" ref="G73:AO73" si="44">SUM(G69:G72)</f>
        <v>-100000</v>
      </c>
      <c r="H73" s="17">
        <f t="shared" si="44"/>
        <v>908484</v>
      </c>
      <c r="I73" s="17">
        <f t="shared" si="44"/>
        <v>363297</v>
      </c>
      <c r="J73" s="17">
        <f t="shared" si="44"/>
        <v>-46940</v>
      </c>
      <c r="K73" s="17">
        <f t="shared" si="44"/>
        <v>316357</v>
      </c>
      <c r="L73" s="17">
        <f t="shared" si="44"/>
        <v>0</v>
      </c>
      <c r="M73" s="17">
        <f t="shared" si="44"/>
        <v>0</v>
      </c>
      <c r="N73" s="17">
        <f t="shared" si="44"/>
        <v>0</v>
      </c>
      <c r="O73" s="17">
        <f t="shared" si="44"/>
        <v>614494</v>
      </c>
      <c r="P73" s="17">
        <f t="shared" si="44"/>
        <v>-471829</v>
      </c>
      <c r="Q73" s="17">
        <f t="shared" si="44"/>
        <v>142665</v>
      </c>
      <c r="R73" s="17">
        <f t="shared" si="44"/>
        <v>1467285</v>
      </c>
      <c r="S73" s="17">
        <f t="shared" si="44"/>
        <v>0</v>
      </c>
      <c r="T73" s="17">
        <f t="shared" si="44"/>
        <v>1467285</v>
      </c>
      <c r="U73" s="17">
        <f t="shared" si="44"/>
        <v>65473</v>
      </c>
      <c r="V73" s="17">
        <f t="shared" si="44"/>
        <v>-12860</v>
      </c>
      <c r="W73" s="17">
        <f t="shared" si="44"/>
        <v>52613</v>
      </c>
      <c r="X73" s="17">
        <f t="shared" si="44"/>
        <v>97339</v>
      </c>
      <c r="Y73" s="17">
        <f t="shared" si="44"/>
        <v>0</v>
      </c>
      <c r="Z73" s="17">
        <f t="shared" si="44"/>
        <v>97339</v>
      </c>
      <c r="AA73" s="17">
        <f t="shared" si="44"/>
        <v>49068</v>
      </c>
      <c r="AB73" s="17">
        <f t="shared" si="44"/>
        <v>-16445</v>
      </c>
      <c r="AC73" s="17">
        <f t="shared" si="44"/>
        <v>32623</v>
      </c>
      <c r="AD73" s="17">
        <f t="shared" si="44"/>
        <v>2843</v>
      </c>
      <c r="AE73" s="17">
        <f t="shared" si="44"/>
        <v>0</v>
      </c>
      <c r="AF73" s="17">
        <f t="shared" si="44"/>
        <v>2843</v>
      </c>
      <c r="AG73" s="17">
        <f t="shared" si="44"/>
        <v>0</v>
      </c>
      <c r="AH73" s="17">
        <f t="shared" si="44"/>
        <v>0</v>
      </c>
      <c r="AI73" s="17">
        <f t="shared" si="44"/>
        <v>0</v>
      </c>
      <c r="AJ73" s="17">
        <f t="shared" si="44"/>
        <v>0</v>
      </c>
      <c r="AK73" s="17">
        <f t="shared" si="44"/>
        <v>0</v>
      </c>
      <c r="AL73" s="17">
        <f t="shared" si="44"/>
        <v>0</v>
      </c>
      <c r="AM73" s="17">
        <f t="shared" si="44"/>
        <v>0</v>
      </c>
      <c r="AN73" s="17">
        <f t="shared" si="44"/>
        <v>0</v>
      </c>
      <c r="AO73" s="17">
        <f t="shared" si="44"/>
        <v>0</v>
      </c>
    </row>
    <row r="74" spans="1:41" s="58" customFormat="1" ht="18.95" customHeight="1" thickBot="1" x14ac:dyDescent="0.35">
      <c r="A74" s="70" t="s">
        <v>69</v>
      </c>
      <c r="B74" s="16"/>
      <c r="C74" s="17">
        <f>C66+C73</f>
        <v>5736309</v>
      </c>
      <c r="D74" s="28"/>
      <c r="E74" s="3"/>
      <c r="F74" s="17">
        <f t="shared" ref="F74:AO74" si="45">F66+F73</f>
        <v>3724584</v>
      </c>
      <c r="G74" s="17">
        <f t="shared" si="45"/>
        <v>-100000</v>
      </c>
      <c r="H74" s="17">
        <f t="shared" si="45"/>
        <v>3624584</v>
      </c>
      <c r="I74" s="17">
        <f t="shared" si="45"/>
        <v>363297</v>
      </c>
      <c r="J74" s="17">
        <f t="shared" si="45"/>
        <v>-46940</v>
      </c>
      <c r="K74" s="17">
        <f t="shared" si="45"/>
        <v>316357</v>
      </c>
      <c r="L74" s="17">
        <f t="shared" si="45"/>
        <v>0</v>
      </c>
      <c r="M74" s="17">
        <f t="shared" si="45"/>
        <v>0</v>
      </c>
      <c r="N74" s="17">
        <f t="shared" si="45"/>
        <v>0</v>
      </c>
      <c r="O74" s="17">
        <f t="shared" si="45"/>
        <v>614494</v>
      </c>
      <c r="P74" s="17">
        <f t="shared" si="45"/>
        <v>-471829</v>
      </c>
      <c r="Q74" s="17">
        <f t="shared" si="45"/>
        <v>142665</v>
      </c>
      <c r="R74" s="17">
        <f t="shared" si="45"/>
        <v>1467285</v>
      </c>
      <c r="S74" s="17">
        <f t="shared" si="45"/>
        <v>0</v>
      </c>
      <c r="T74" s="17">
        <f t="shared" si="45"/>
        <v>1467285</v>
      </c>
      <c r="U74" s="17">
        <f t="shared" si="45"/>
        <v>65473</v>
      </c>
      <c r="V74" s="17">
        <f t="shared" si="45"/>
        <v>-12860</v>
      </c>
      <c r="W74" s="17">
        <f t="shared" si="45"/>
        <v>52613</v>
      </c>
      <c r="X74" s="17">
        <f t="shared" si="45"/>
        <v>97339</v>
      </c>
      <c r="Y74" s="17">
        <f t="shared" si="45"/>
        <v>0</v>
      </c>
      <c r="Z74" s="17">
        <f t="shared" si="45"/>
        <v>97339</v>
      </c>
      <c r="AA74" s="17">
        <f t="shared" si="45"/>
        <v>49068</v>
      </c>
      <c r="AB74" s="17">
        <f t="shared" si="45"/>
        <v>-16445</v>
      </c>
      <c r="AC74" s="17">
        <f t="shared" si="45"/>
        <v>32623</v>
      </c>
      <c r="AD74" s="17">
        <f t="shared" si="45"/>
        <v>2843</v>
      </c>
      <c r="AE74" s="17">
        <f t="shared" si="45"/>
        <v>0</v>
      </c>
      <c r="AF74" s="17">
        <f t="shared" si="45"/>
        <v>2843</v>
      </c>
      <c r="AG74" s="17">
        <f t="shared" si="45"/>
        <v>0</v>
      </c>
      <c r="AH74" s="17">
        <f t="shared" si="45"/>
        <v>0</v>
      </c>
      <c r="AI74" s="17">
        <f t="shared" si="45"/>
        <v>0</v>
      </c>
      <c r="AJ74" s="17">
        <f t="shared" si="45"/>
        <v>0</v>
      </c>
      <c r="AK74" s="17">
        <f t="shared" si="45"/>
        <v>0</v>
      </c>
      <c r="AL74" s="17">
        <f t="shared" si="45"/>
        <v>0</v>
      </c>
      <c r="AM74" s="17">
        <f t="shared" si="45"/>
        <v>0</v>
      </c>
      <c r="AN74" s="17">
        <f t="shared" si="45"/>
        <v>0</v>
      </c>
      <c r="AO74" s="17">
        <f t="shared" si="45"/>
        <v>0</v>
      </c>
    </row>
    <row r="75" spans="1:41" s="58" customFormat="1" ht="18" thickTop="1" x14ac:dyDescent="0.3">
      <c r="A75" s="15" t="s">
        <v>1</v>
      </c>
      <c r="B75" s="16"/>
      <c r="C75" s="46"/>
      <c r="D75" s="24"/>
      <c r="E75" s="3"/>
      <c r="F75" s="65"/>
      <c r="G75" s="65"/>
      <c r="H75" s="65"/>
      <c r="I75" s="66"/>
      <c r="J75" s="66"/>
      <c r="K75" s="66"/>
      <c r="L75" s="65"/>
      <c r="M75" s="65"/>
      <c r="N75" s="65"/>
      <c r="O75" s="66"/>
      <c r="P75" s="66"/>
      <c r="Q75" s="66"/>
      <c r="R75" s="65"/>
      <c r="S75" s="65"/>
      <c r="T75" s="65"/>
      <c r="U75" s="66"/>
      <c r="V75" s="66"/>
      <c r="W75" s="66"/>
      <c r="X75" s="65"/>
      <c r="Y75" s="65"/>
      <c r="Z75" s="65"/>
      <c r="AA75" s="66"/>
      <c r="AB75" s="66"/>
      <c r="AC75" s="66"/>
      <c r="AD75" s="65"/>
      <c r="AE75" s="65"/>
      <c r="AF75" s="65"/>
      <c r="AG75" s="66"/>
      <c r="AH75" s="66"/>
      <c r="AI75" s="66"/>
      <c r="AJ75" s="65"/>
      <c r="AK75" s="65"/>
      <c r="AL75" s="65"/>
      <c r="AM75" s="66"/>
      <c r="AN75" s="66"/>
      <c r="AO75" s="66"/>
    </row>
    <row r="76" spans="1:41" s="58" customFormat="1" ht="17.25" x14ac:dyDescent="0.3">
      <c r="A76" s="4" t="s">
        <v>26</v>
      </c>
      <c r="B76" s="16"/>
      <c r="C76" s="19"/>
      <c r="D76" s="24"/>
      <c r="E76" s="3"/>
      <c r="F76" s="65"/>
      <c r="G76" s="65"/>
      <c r="H76" s="65"/>
      <c r="I76" s="66"/>
      <c r="J76" s="66"/>
      <c r="K76" s="66"/>
      <c r="L76" s="65"/>
      <c r="M76" s="65"/>
      <c r="N76" s="65"/>
      <c r="O76" s="66"/>
      <c r="P76" s="66"/>
      <c r="Q76" s="66"/>
      <c r="R76" s="65"/>
      <c r="S76" s="65"/>
      <c r="T76" s="65"/>
      <c r="U76" s="66"/>
      <c r="V76" s="66"/>
      <c r="W76" s="66"/>
      <c r="X76" s="65"/>
      <c r="Y76" s="65"/>
      <c r="Z76" s="65"/>
      <c r="AA76" s="66"/>
      <c r="AB76" s="66"/>
      <c r="AC76" s="66"/>
      <c r="AD76" s="65"/>
      <c r="AE76" s="65"/>
      <c r="AF76" s="65"/>
      <c r="AG76" s="66"/>
      <c r="AH76" s="66"/>
      <c r="AI76" s="66"/>
      <c r="AJ76" s="65"/>
      <c r="AK76" s="65"/>
      <c r="AL76" s="65"/>
      <c r="AM76" s="66"/>
      <c r="AN76" s="66"/>
      <c r="AO76" s="66"/>
    </row>
    <row r="77" spans="1:41" s="58" customFormat="1" ht="6.95" customHeight="1" x14ac:dyDescent="0.3">
      <c r="A77" s="4"/>
      <c r="B77" s="16"/>
      <c r="C77" s="19"/>
      <c r="D77" s="24"/>
      <c r="E77" s="3"/>
      <c r="F77" s="65"/>
      <c r="G77" s="65"/>
      <c r="H77" s="65"/>
      <c r="I77" s="66"/>
      <c r="J77" s="66"/>
      <c r="K77" s="66"/>
      <c r="L77" s="65"/>
      <c r="M77" s="65"/>
      <c r="N77" s="65"/>
      <c r="O77" s="66"/>
      <c r="P77" s="66"/>
      <c r="Q77" s="66"/>
      <c r="R77" s="65"/>
      <c r="S77" s="65"/>
      <c r="T77" s="65"/>
      <c r="U77" s="66"/>
      <c r="V77" s="66"/>
      <c r="W77" s="66"/>
      <c r="X77" s="65"/>
      <c r="Y77" s="65"/>
      <c r="Z77" s="65"/>
      <c r="AA77" s="66"/>
      <c r="AB77" s="66"/>
      <c r="AC77" s="66"/>
      <c r="AD77" s="65"/>
      <c r="AE77" s="65"/>
      <c r="AF77" s="65"/>
      <c r="AG77" s="66"/>
      <c r="AH77" s="66"/>
      <c r="AI77" s="66"/>
      <c r="AJ77" s="65"/>
      <c r="AK77" s="65"/>
      <c r="AL77" s="65"/>
      <c r="AM77" s="66"/>
      <c r="AN77" s="66"/>
      <c r="AO77" s="66"/>
    </row>
    <row r="78" spans="1:41" s="58" customFormat="1" ht="17.25" x14ac:dyDescent="0.3">
      <c r="A78" s="4" t="s">
        <v>27</v>
      </c>
      <c r="B78" s="25"/>
      <c r="C78" s="47"/>
      <c r="D78" s="48"/>
      <c r="E78" s="3"/>
      <c r="F78" s="65"/>
      <c r="G78" s="65"/>
      <c r="H78" s="65"/>
      <c r="I78" s="66"/>
      <c r="J78" s="66"/>
      <c r="K78" s="66"/>
      <c r="L78" s="65"/>
      <c r="M78" s="65"/>
      <c r="N78" s="65"/>
      <c r="O78" s="66"/>
      <c r="P78" s="66"/>
      <c r="Q78" s="66"/>
      <c r="R78" s="65"/>
      <c r="S78" s="65"/>
      <c r="T78" s="65"/>
      <c r="U78" s="66"/>
      <c r="V78" s="66"/>
      <c r="W78" s="66"/>
      <c r="X78" s="65"/>
      <c r="Y78" s="65"/>
      <c r="Z78" s="65"/>
      <c r="AA78" s="66"/>
      <c r="AB78" s="66"/>
      <c r="AC78" s="66"/>
      <c r="AD78" s="65"/>
      <c r="AE78" s="65"/>
      <c r="AF78" s="65"/>
      <c r="AG78" s="66"/>
      <c r="AH78" s="66"/>
      <c r="AI78" s="66"/>
      <c r="AJ78" s="65"/>
      <c r="AK78" s="65"/>
      <c r="AL78" s="65"/>
      <c r="AM78" s="66"/>
      <c r="AN78" s="66"/>
      <c r="AO78" s="66"/>
    </row>
    <row r="79" spans="1:41" s="58" customFormat="1" ht="17.25" hidden="1" x14ac:dyDescent="0.3">
      <c r="A79" s="4" t="s">
        <v>28</v>
      </c>
      <c r="B79" s="16"/>
      <c r="C79" s="19"/>
      <c r="D79" s="24"/>
      <c r="E79" s="3"/>
      <c r="F79" s="65"/>
      <c r="G79" s="65"/>
      <c r="H79" s="65"/>
      <c r="I79" s="66"/>
      <c r="J79" s="66"/>
      <c r="K79" s="66"/>
      <c r="L79" s="65"/>
      <c r="M79" s="65"/>
      <c r="N79" s="65"/>
      <c r="O79" s="66"/>
      <c r="P79" s="66"/>
      <c r="Q79" s="66"/>
      <c r="R79" s="65"/>
      <c r="S79" s="65"/>
      <c r="T79" s="65"/>
      <c r="U79" s="66"/>
      <c r="V79" s="66"/>
      <c r="W79" s="66"/>
      <c r="X79" s="65"/>
      <c r="Y79" s="65"/>
      <c r="Z79" s="65"/>
      <c r="AA79" s="66"/>
      <c r="AB79" s="66"/>
      <c r="AC79" s="66"/>
      <c r="AD79" s="65"/>
      <c r="AE79" s="65"/>
      <c r="AF79" s="65"/>
      <c r="AG79" s="66"/>
      <c r="AH79" s="66"/>
      <c r="AI79" s="66"/>
      <c r="AJ79" s="65"/>
      <c r="AK79" s="65"/>
      <c r="AL79" s="65"/>
      <c r="AM79" s="66"/>
      <c r="AN79" s="66"/>
      <c r="AO79" s="66"/>
    </row>
    <row r="80" spans="1:41" s="58" customFormat="1" ht="17.25" hidden="1" x14ac:dyDescent="0.3">
      <c r="A80" s="15" t="s">
        <v>29</v>
      </c>
      <c r="B80" s="16"/>
      <c r="C80" s="19">
        <v>0</v>
      </c>
      <c r="D80" s="24"/>
      <c r="E80" s="3"/>
      <c r="F80" s="65"/>
      <c r="G80" s="65"/>
      <c r="H80" s="65"/>
      <c r="I80" s="66"/>
      <c r="J80" s="66"/>
      <c r="K80" s="66"/>
      <c r="L80" s="65"/>
      <c r="M80" s="65"/>
      <c r="N80" s="65"/>
      <c r="O80" s="66"/>
      <c r="P80" s="66"/>
      <c r="Q80" s="66"/>
      <c r="R80" s="65"/>
      <c r="S80" s="65"/>
      <c r="T80" s="65"/>
      <c r="U80" s="66"/>
      <c r="V80" s="66"/>
      <c r="W80" s="66"/>
      <c r="X80" s="65"/>
      <c r="Y80" s="65"/>
      <c r="Z80" s="65"/>
      <c r="AA80" s="66"/>
      <c r="AB80" s="66"/>
      <c r="AC80" s="66"/>
      <c r="AD80" s="65"/>
      <c r="AE80" s="65"/>
      <c r="AF80" s="65"/>
      <c r="AG80" s="66"/>
      <c r="AH80" s="66"/>
      <c r="AI80" s="66"/>
      <c r="AJ80" s="65"/>
      <c r="AK80" s="65"/>
      <c r="AL80" s="65"/>
      <c r="AM80" s="66"/>
      <c r="AN80" s="66"/>
      <c r="AO80" s="66"/>
    </row>
    <row r="81" spans="1:41" s="58" customFormat="1" ht="17.25" hidden="1" x14ac:dyDescent="0.3">
      <c r="A81" s="4" t="s">
        <v>30</v>
      </c>
      <c r="B81" s="16"/>
      <c r="C81" s="18">
        <f>C80</f>
        <v>0</v>
      </c>
      <c r="D81" s="24"/>
      <c r="E81" s="3"/>
      <c r="F81" s="65"/>
      <c r="G81" s="65"/>
      <c r="H81" s="65"/>
      <c r="I81" s="66"/>
      <c r="J81" s="66"/>
      <c r="K81" s="66"/>
      <c r="L81" s="65"/>
      <c r="M81" s="65"/>
      <c r="N81" s="65"/>
      <c r="O81" s="66"/>
      <c r="P81" s="66"/>
      <c r="Q81" s="66"/>
      <c r="R81" s="65"/>
      <c r="S81" s="65"/>
      <c r="T81" s="65"/>
      <c r="U81" s="66"/>
      <c r="V81" s="66"/>
      <c r="W81" s="66"/>
      <c r="X81" s="65"/>
      <c r="Y81" s="65"/>
      <c r="Z81" s="65"/>
      <c r="AA81" s="66"/>
      <c r="AB81" s="66"/>
      <c r="AC81" s="66"/>
      <c r="AD81" s="65"/>
      <c r="AE81" s="65"/>
      <c r="AF81" s="65"/>
      <c r="AG81" s="66"/>
      <c r="AH81" s="66"/>
      <c r="AI81" s="66"/>
      <c r="AJ81" s="65"/>
      <c r="AK81" s="65"/>
      <c r="AL81" s="65"/>
      <c r="AM81" s="66"/>
      <c r="AN81" s="66"/>
      <c r="AO81" s="66"/>
    </row>
    <row r="82" spans="1:41" s="58" customFormat="1" ht="9.9499999999999993" customHeight="1" x14ac:dyDescent="0.3">
      <c r="A82" s="15"/>
      <c r="B82" s="16"/>
      <c r="C82" s="19"/>
      <c r="D82" s="24"/>
      <c r="E82" s="3"/>
      <c r="F82" s="65"/>
      <c r="G82" s="65"/>
      <c r="H82" s="65"/>
      <c r="I82" s="66"/>
      <c r="J82" s="66"/>
      <c r="K82" s="66"/>
      <c r="L82" s="65"/>
      <c r="M82" s="65"/>
      <c r="N82" s="65"/>
      <c r="O82" s="66"/>
      <c r="P82" s="66"/>
      <c r="Q82" s="66"/>
      <c r="R82" s="65"/>
      <c r="S82" s="65"/>
      <c r="T82" s="65"/>
      <c r="U82" s="66"/>
      <c r="V82" s="66"/>
      <c r="W82" s="66"/>
      <c r="X82" s="65"/>
      <c r="Y82" s="65"/>
      <c r="Z82" s="65"/>
      <c r="AA82" s="66"/>
      <c r="AB82" s="66"/>
      <c r="AC82" s="66"/>
      <c r="AD82" s="65"/>
      <c r="AE82" s="65"/>
      <c r="AF82" s="65"/>
      <c r="AG82" s="66"/>
      <c r="AH82" s="66"/>
      <c r="AI82" s="66"/>
      <c r="AJ82" s="65"/>
      <c r="AK82" s="65"/>
      <c r="AL82" s="65"/>
      <c r="AM82" s="66"/>
      <c r="AN82" s="66"/>
      <c r="AO82" s="66"/>
    </row>
    <row r="83" spans="1:41" s="58" customFormat="1" ht="17.25" x14ac:dyDescent="0.3">
      <c r="A83" s="15" t="s">
        <v>31</v>
      </c>
      <c r="B83" s="16"/>
      <c r="C83" s="14">
        <f>H83+K83+N83+Q83+T83+W83+Z83+AC83+AF83+AI83+AL83+AO83</f>
        <v>2622531</v>
      </c>
      <c r="D83" s="24"/>
      <c r="E83" s="3"/>
      <c r="F83" s="132">
        <v>784091</v>
      </c>
      <c r="G83" s="65"/>
      <c r="H83" s="65">
        <f t="shared" si="27"/>
        <v>784091</v>
      </c>
      <c r="I83" s="132">
        <v>243377</v>
      </c>
      <c r="J83" s="66"/>
      <c r="K83" s="66">
        <f t="shared" si="28"/>
        <v>243377</v>
      </c>
      <c r="L83" s="65">
        <v>0</v>
      </c>
      <c r="M83" s="65"/>
      <c r="N83" s="65">
        <f t="shared" si="29"/>
        <v>0</v>
      </c>
      <c r="O83" s="132">
        <v>578547</v>
      </c>
      <c r="P83" s="66"/>
      <c r="Q83" s="66">
        <f t="shared" si="30"/>
        <v>578547</v>
      </c>
      <c r="R83" s="132">
        <v>825198</v>
      </c>
      <c r="S83" s="65"/>
      <c r="T83" s="65">
        <f t="shared" si="31"/>
        <v>825198</v>
      </c>
      <c r="U83" s="132">
        <v>57493</v>
      </c>
      <c r="V83" s="66"/>
      <c r="W83" s="66">
        <f t="shared" si="32"/>
        <v>57493</v>
      </c>
      <c r="X83" s="132">
        <v>84689</v>
      </c>
      <c r="Y83" s="65"/>
      <c r="Z83" s="65">
        <f t="shared" si="33"/>
        <v>84689</v>
      </c>
      <c r="AA83" s="132">
        <v>46293</v>
      </c>
      <c r="AB83" s="66"/>
      <c r="AC83" s="66">
        <f t="shared" si="34"/>
        <v>46293</v>
      </c>
      <c r="AD83" s="65">
        <v>2843</v>
      </c>
      <c r="AE83" s="65"/>
      <c r="AF83" s="65">
        <f t="shared" si="35"/>
        <v>2843</v>
      </c>
      <c r="AG83" s="66"/>
      <c r="AH83" s="66"/>
      <c r="AI83" s="66">
        <f t="shared" si="36"/>
        <v>0</v>
      </c>
      <c r="AJ83" s="65"/>
      <c r="AK83" s="65"/>
      <c r="AL83" s="65">
        <f t="shared" si="37"/>
        <v>0</v>
      </c>
      <c r="AM83" s="66"/>
      <c r="AN83" s="66"/>
      <c r="AO83" s="66">
        <f t="shared" ref="AO83" si="46">AM83+AN83</f>
        <v>0</v>
      </c>
    </row>
    <row r="84" spans="1:41" s="58" customFormat="1" ht="18.95" customHeight="1" x14ac:dyDescent="0.3">
      <c r="A84" s="4" t="s">
        <v>32</v>
      </c>
      <c r="B84" s="16"/>
      <c r="C84" s="17">
        <f>C83</f>
        <v>2622531</v>
      </c>
      <c r="D84" s="28"/>
      <c r="E84" s="3"/>
      <c r="F84" s="17">
        <f>F83</f>
        <v>784091</v>
      </c>
      <c r="G84" s="17">
        <f t="shared" ref="G84:AO84" si="47">G83</f>
        <v>0</v>
      </c>
      <c r="H84" s="17">
        <f t="shared" si="47"/>
        <v>784091</v>
      </c>
      <c r="I84" s="17">
        <f t="shared" si="47"/>
        <v>243377</v>
      </c>
      <c r="J84" s="17">
        <f t="shared" si="47"/>
        <v>0</v>
      </c>
      <c r="K84" s="17">
        <f t="shared" si="47"/>
        <v>243377</v>
      </c>
      <c r="L84" s="17">
        <f t="shared" si="47"/>
        <v>0</v>
      </c>
      <c r="M84" s="17">
        <f t="shared" si="47"/>
        <v>0</v>
      </c>
      <c r="N84" s="17">
        <f t="shared" si="47"/>
        <v>0</v>
      </c>
      <c r="O84" s="17">
        <f t="shared" si="47"/>
        <v>578547</v>
      </c>
      <c r="P84" s="17">
        <f t="shared" si="47"/>
        <v>0</v>
      </c>
      <c r="Q84" s="17">
        <f t="shared" si="47"/>
        <v>578547</v>
      </c>
      <c r="R84" s="17">
        <f t="shared" si="47"/>
        <v>825198</v>
      </c>
      <c r="S84" s="17">
        <f t="shared" si="47"/>
        <v>0</v>
      </c>
      <c r="T84" s="17">
        <f t="shared" si="47"/>
        <v>825198</v>
      </c>
      <c r="U84" s="17">
        <f t="shared" si="47"/>
        <v>57493</v>
      </c>
      <c r="V84" s="17">
        <f t="shared" si="47"/>
        <v>0</v>
      </c>
      <c r="W84" s="17">
        <f t="shared" si="47"/>
        <v>57493</v>
      </c>
      <c r="X84" s="17">
        <f t="shared" si="47"/>
        <v>84689</v>
      </c>
      <c r="Y84" s="17">
        <f t="shared" si="47"/>
        <v>0</v>
      </c>
      <c r="Z84" s="17">
        <f t="shared" si="47"/>
        <v>84689</v>
      </c>
      <c r="AA84" s="17">
        <f t="shared" si="47"/>
        <v>46293</v>
      </c>
      <c r="AB84" s="17">
        <f t="shared" si="47"/>
        <v>0</v>
      </c>
      <c r="AC84" s="17">
        <f t="shared" si="47"/>
        <v>46293</v>
      </c>
      <c r="AD84" s="17">
        <f t="shared" si="47"/>
        <v>2843</v>
      </c>
      <c r="AE84" s="17">
        <f t="shared" si="47"/>
        <v>0</v>
      </c>
      <c r="AF84" s="17">
        <f t="shared" si="47"/>
        <v>2843</v>
      </c>
      <c r="AG84" s="17">
        <f t="shared" si="47"/>
        <v>0</v>
      </c>
      <c r="AH84" s="17">
        <f t="shared" si="47"/>
        <v>0</v>
      </c>
      <c r="AI84" s="17">
        <f t="shared" si="47"/>
        <v>0</v>
      </c>
      <c r="AJ84" s="17">
        <f t="shared" si="47"/>
        <v>0</v>
      </c>
      <c r="AK84" s="17">
        <f t="shared" si="47"/>
        <v>0</v>
      </c>
      <c r="AL84" s="17">
        <f t="shared" si="47"/>
        <v>0</v>
      </c>
      <c r="AM84" s="17">
        <f t="shared" si="47"/>
        <v>0</v>
      </c>
      <c r="AN84" s="17">
        <f t="shared" si="47"/>
        <v>0</v>
      </c>
      <c r="AO84" s="17">
        <f t="shared" si="47"/>
        <v>0</v>
      </c>
    </row>
    <row r="85" spans="1:41" s="58" customFormat="1" ht="9.9499999999999993" customHeight="1" x14ac:dyDescent="0.3">
      <c r="A85" s="4"/>
      <c r="B85" s="16"/>
      <c r="C85" s="17"/>
      <c r="D85" s="28"/>
      <c r="E85" s="3"/>
      <c r="F85" s="65"/>
      <c r="G85" s="65"/>
      <c r="H85" s="65"/>
      <c r="I85" s="66"/>
      <c r="J85" s="66"/>
      <c r="K85" s="66"/>
      <c r="L85" s="65"/>
      <c r="M85" s="65"/>
      <c r="N85" s="65"/>
      <c r="O85" s="66"/>
      <c r="P85" s="66"/>
      <c r="Q85" s="66"/>
      <c r="R85" s="65"/>
      <c r="S85" s="65"/>
      <c r="T85" s="65"/>
      <c r="U85" s="66"/>
      <c r="V85" s="66"/>
      <c r="W85" s="66"/>
      <c r="X85" s="65"/>
      <c r="Y85" s="65"/>
      <c r="Z85" s="65"/>
      <c r="AA85" s="66"/>
      <c r="AB85" s="66"/>
      <c r="AC85" s="66"/>
      <c r="AD85" s="65"/>
      <c r="AE85" s="65"/>
      <c r="AF85" s="65"/>
      <c r="AG85" s="66"/>
      <c r="AH85" s="66"/>
      <c r="AI85" s="66"/>
      <c r="AJ85" s="65"/>
      <c r="AK85" s="65"/>
      <c r="AL85" s="65"/>
      <c r="AM85" s="66"/>
      <c r="AN85" s="66"/>
      <c r="AO85" s="66"/>
    </row>
    <row r="86" spans="1:41" s="58" customFormat="1" ht="17.25" x14ac:dyDescent="0.3">
      <c r="A86" s="4" t="s">
        <v>33</v>
      </c>
      <c r="B86" s="16"/>
      <c r="C86" s="28"/>
      <c r="D86" s="28"/>
      <c r="E86" s="3"/>
      <c r="F86" s="65"/>
      <c r="G86" s="65"/>
      <c r="H86" s="65">
        <f t="shared" si="27"/>
        <v>0</v>
      </c>
      <c r="I86" s="66"/>
      <c r="J86" s="66"/>
      <c r="K86" s="66">
        <f t="shared" si="28"/>
        <v>0</v>
      </c>
      <c r="L86" s="65"/>
      <c r="M86" s="65"/>
      <c r="N86" s="65">
        <f t="shared" si="29"/>
        <v>0</v>
      </c>
      <c r="O86" s="66"/>
      <c r="P86" s="66"/>
      <c r="Q86" s="66">
        <f t="shared" si="30"/>
        <v>0</v>
      </c>
      <c r="R86" s="65"/>
      <c r="S86" s="65"/>
      <c r="T86" s="65">
        <f t="shared" si="31"/>
        <v>0</v>
      </c>
      <c r="U86" s="66"/>
      <c r="V86" s="66"/>
      <c r="W86" s="66">
        <f t="shared" si="32"/>
        <v>0</v>
      </c>
      <c r="X86" s="65"/>
      <c r="Y86" s="65"/>
      <c r="Z86" s="65">
        <f t="shared" si="33"/>
        <v>0</v>
      </c>
      <c r="AA86" s="66"/>
      <c r="AB86" s="66"/>
      <c r="AC86" s="66">
        <f t="shared" si="34"/>
        <v>0</v>
      </c>
      <c r="AD86" s="65"/>
      <c r="AE86" s="65"/>
      <c r="AF86" s="65">
        <f t="shared" si="35"/>
        <v>0</v>
      </c>
      <c r="AG86" s="66"/>
      <c r="AH86" s="66"/>
      <c r="AI86" s="66">
        <f t="shared" si="36"/>
        <v>0</v>
      </c>
      <c r="AJ86" s="65"/>
      <c r="AK86" s="65"/>
      <c r="AL86" s="65">
        <f t="shared" si="37"/>
        <v>0</v>
      </c>
      <c r="AM86" s="66"/>
      <c r="AN86" s="66"/>
      <c r="AO86" s="66">
        <f t="shared" ref="AO86:AO88" si="48">AM86+AN86</f>
        <v>0</v>
      </c>
    </row>
    <row r="87" spans="1:41" s="58" customFormat="1" ht="17.25" x14ac:dyDescent="0.3">
      <c r="A87" s="70" t="s">
        <v>78</v>
      </c>
      <c r="B87" s="16"/>
      <c r="C87" s="21"/>
      <c r="D87" s="28"/>
      <c r="E87" s="3"/>
      <c r="F87" s="65"/>
      <c r="G87" s="65"/>
      <c r="H87" s="65">
        <f t="shared" si="27"/>
        <v>0</v>
      </c>
      <c r="I87" s="66"/>
      <c r="J87" s="66"/>
      <c r="K87" s="66">
        <f t="shared" si="28"/>
        <v>0</v>
      </c>
      <c r="L87" s="65"/>
      <c r="M87" s="65"/>
      <c r="N87" s="65">
        <f t="shared" si="29"/>
        <v>0</v>
      </c>
      <c r="O87" s="66"/>
      <c r="P87" s="66"/>
      <c r="Q87" s="66">
        <f t="shared" si="30"/>
        <v>0</v>
      </c>
      <c r="R87" s="65"/>
      <c r="S87" s="65"/>
      <c r="T87" s="65">
        <f t="shared" si="31"/>
        <v>0</v>
      </c>
      <c r="U87" s="66"/>
      <c r="V87" s="66"/>
      <c r="W87" s="66">
        <f t="shared" si="32"/>
        <v>0</v>
      </c>
      <c r="X87" s="65"/>
      <c r="Y87" s="65"/>
      <c r="Z87" s="65">
        <f t="shared" si="33"/>
        <v>0</v>
      </c>
      <c r="AA87" s="66"/>
      <c r="AB87" s="66"/>
      <c r="AC87" s="66">
        <f t="shared" si="34"/>
        <v>0</v>
      </c>
      <c r="AD87" s="65"/>
      <c r="AE87" s="65"/>
      <c r="AF87" s="65">
        <f t="shared" si="35"/>
        <v>0</v>
      </c>
      <c r="AG87" s="66"/>
      <c r="AH87" s="66"/>
      <c r="AI87" s="66">
        <f t="shared" si="36"/>
        <v>0</v>
      </c>
      <c r="AJ87" s="65"/>
      <c r="AK87" s="65"/>
      <c r="AL87" s="65">
        <f t="shared" si="37"/>
        <v>0</v>
      </c>
      <c r="AM87" s="66"/>
      <c r="AN87" s="66"/>
      <c r="AO87" s="66">
        <f t="shared" si="48"/>
        <v>0</v>
      </c>
    </row>
    <row r="88" spans="1:41" s="58" customFormat="1" ht="17.25" x14ac:dyDescent="0.3">
      <c r="A88" s="15" t="s">
        <v>34</v>
      </c>
      <c r="B88" s="16"/>
      <c r="C88" s="14">
        <f>H88+K88+N88+Q88+T88+W88+Z88+AC88+AF88+AI88+AL88+AO88</f>
        <v>2647269</v>
      </c>
      <c r="D88" s="28"/>
      <c r="E88" s="3"/>
      <c r="F88" s="132">
        <v>2647269</v>
      </c>
      <c r="G88" s="65"/>
      <c r="H88" s="65">
        <f t="shared" si="27"/>
        <v>2647269</v>
      </c>
      <c r="I88" s="132">
        <v>0</v>
      </c>
      <c r="J88" s="66"/>
      <c r="K88" s="66">
        <f t="shared" si="28"/>
        <v>0</v>
      </c>
      <c r="L88" s="65">
        <v>0</v>
      </c>
      <c r="M88" s="65"/>
      <c r="N88" s="65">
        <f t="shared" si="29"/>
        <v>0</v>
      </c>
      <c r="O88" s="132">
        <v>0</v>
      </c>
      <c r="P88" s="66"/>
      <c r="Q88" s="66">
        <f t="shared" si="30"/>
        <v>0</v>
      </c>
      <c r="R88" s="132">
        <v>0</v>
      </c>
      <c r="S88" s="65"/>
      <c r="T88" s="65">
        <f t="shared" si="31"/>
        <v>0</v>
      </c>
      <c r="U88" s="132">
        <v>0</v>
      </c>
      <c r="V88" s="66"/>
      <c r="W88" s="66">
        <f t="shared" si="32"/>
        <v>0</v>
      </c>
      <c r="X88" s="65"/>
      <c r="Y88" s="65"/>
      <c r="Z88" s="65">
        <f t="shared" si="33"/>
        <v>0</v>
      </c>
      <c r="AA88" s="66"/>
      <c r="AB88" s="66"/>
      <c r="AC88" s="66">
        <f t="shared" si="34"/>
        <v>0</v>
      </c>
      <c r="AD88" s="65"/>
      <c r="AE88" s="65"/>
      <c r="AF88" s="65">
        <f t="shared" si="35"/>
        <v>0</v>
      </c>
      <c r="AG88" s="66"/>
      <c r="AH88" s="66"/>
      <c r="AI88" s="66">
        <f t="shared" si="36"/>
        <v>0</v>
      </c>
      <c r="AJ88" s="65"/>
      <c r="AK88" s="65"/>
      <c r="AL88" s="65">
        <f t="shared" si="37"/>
        <v>0</v>
      </c>
      <c r="AM88" s="66"/>
      <c r="AN88" s="66"/>
      <c r="AO88" s="66">
        <f t="shared" si="48"/>
        <v>0</v>
      </c>
    </row>
    <row r="89" spans="1:41" s="58" customFormat="1" ht="17.25" x14ac:dyDescent="0.3">
      <c r="A89" s="71" t="s">
        <v>77</v>
      </c>
      <c r="B89" s="16"/>
      <c r="C89" s="17">
        <f>C88</f>
        <v>2647269</v>
      </c>
      <c r="D89" s="28"/>
      <c r="E89" s="3"/>
      <c r="F89" s="17">
        <f>F88</f>
        <v>2647269</v>
      </c>
      <c r="G89" s="17">
        <f t="shared" ref="G89:AO89" si="49">G88</f>
        <v>0</v>
      </c>
      <c r="H89" s="17">
        <f t="shared" si="49"/>
        <v>2647269</v>
      </c>
      <c r="I89" s="17">
        <f t="shared" si="49"/>
        <v>0</v>
      </c>
      <c r="J89" s="17">
        <f t="shared" si="49"/>
        <v>0</v>
      </c>
      <c r="K89" s="17">
        <f t="shared" si="49"/>
        <v>0</v>
      </c>
      <c r="L89" s="17">
        <f t="shared" si="49"/>
        <v>0</v>
      </c>
      <c r="M89" s="17">
        <f t="shared" si="49"/>
        <v>0</v>
      </c>
      <c r="N89" s="17">
        <f t="shared" si="49"/>
        <v>0</v>
      </c>
      <c r="O89" s="17">
        <f t="shared" si="49"/>
        <v>0</v>
      </c>
      <c r="P89" s="17">
        <f t="shared" si="49"/>
        <v>0</v>
      </c>
      <c r="Q89" s="17">
        <f t="shared" si="49"/>
        <v>0</v>
      </c>
      <c r="R89" s="17">
        <f t="shared" si="49"/>
        <v>0</v>
      </c>
      <c r="S89" s="17">
        <f t="shared" si="49"/>
        <v>0</v>
      </c>
      <c r="T89" s="17">
        <f t="shared" si="49"/>
        <v>0</v>
      </c>
      <c r="U89" s="17">
        <f t="shared" si="49"/>
        <v>0</v>
      </c>
      <c r="V89" s="17">
        <f t="shared" si="49"/>
        <v>0</v>
      </c>
      <c r="W89" s="17">
        <f t="shared" si="49"/>
        <v>0</v>
      </c>
      <c r="X89" s="17">
        <f t="shared" si="49"/>
        <v>0</v>
      </c>
      <c r="Y89" s="17">
        <f t="shared" si="49"/>
        <v>0</v>
      </c>
      <c r="Z89" s="17">
        <f t="shared" si="49"/>
        <v>0</v>
      </c>
      <c r="AA89" s="17">
        <f t="shared" si="49"/>
        <v>0</v>
      </c>
      <c r="AB89" s="17">
        <f t="shared" si="49"/>
        <v>0</v>
      </c>
      <c r="AC89" s="17">
        <f t="shared" si="49"/>
        <v>0</v>
      </c>
      <c r="AD89" s="17">
        <f t="shared" si="49"/>
        <v>0</v>
      </c>
      <c r="AE89" s="17">
        <f t="shared" si="49"/>
        <v>0</v>
      </c>
      <c r="AF89" s="17">
        <f t="shared" si="49"/>
        <v>0</v>
      </c>
      <c r="AG89" s="17">
        <f t="shared" si="49"/>
        <v>0</v>
      </c>
      <c r="AH89" s="17">
        <f t="shared" si="49"/>
        <v>0</v>
      </c>
      <c r="AI89" s="17">
        <f t="shared" si="49"/>
        <v>0</v>
      </c>
      <c r="AJ89" s="17">
        <f t="shared" si="49"/>
        <v>0</v>
      </c>
      <c r="AK89" s="17">
        <f t="shared" si="49"/>
        <v>0</v>
      </c>
      <c r="AL89" s="17">
        <f t="shared" si="49"/>
        <v>0</v>
      </c>
      <c r="AM89" s="17">
        <f t="shared" si="49"/>
        <v>0</v>
      </c>
      <c r="AN89" s="17">
        <f t="shared" si="49"/>
        <v>0</v>
      </c>
      <c r="AO89" s="17">
        <f t="shared" si="49"/>
        <v>0</v>
      </c>
    </row>
    <row r="90" spans="1:41" s="58" customFormat="1" ht="11.1" customHeight="1" x14ac:dyDescent="0.3">
      <c r="A90" s="15"/>
      <c r="B90" s="16"/>
      <c r="C90" s="24"/>
      <c r="D90" s="24"/>
      <c r="E90" s="3"/>
      <c r="F90" s="65"/>
      <c r="G90" s="65"/>
      <c r="H90" s="65"/>
      <c r="I90" s="66"/>
      <c r="J90" s="66"/>
      <c r="K90" s="66"/>
      <c r="L90" s="65"/>
      <c r="M90" s="65"/>
      <c r="N90" s="65"/>
      <c r="O90" s="66"/>
      <c r="P90" s="66"/>
      <c r="Q90" s="66"/>
      <c r="R90" s="65"/>
      <c r="S90" s="65"/>
      <c r="T90" s="65"/>
      <c r="U90" s="66"/>
      <c r="V90" s="66"/>
      <c r="W90" s="66"/>
      <c r="X90" s="65"/>
      <c r="Y90" s="65"/>
      <c r="Z90" s="65"/>
      <c r="AA90" s="66"/>
      <c r="AB90" s="66"/>
      <c r="AC90" s="66"/>
      <c r="AD90" s="65"/>
      <c r="AE90" s="65"/>
      <c r="AF90" s="65"/>
      <c r="AG90" s="66"/>
      <c r="AH90" s="66"/>
      <c r="AI90" s="66"/>
      <c r="AJ90" s="65"/>
      <c r="AK90" s="65"/>
      <c r="AL90" s="65"/>
      <c r="AM90" s="66"/>
      <c r="AN90" s="66"/>
      <c r="AO90" s="66"/>
    </row>
    <row r="91" spans="1:41" s="58" customFormat="1" ht="17.25" x14ac:dyDescent="0.3">
      <c r="A91" s="70" t="s">
        <v>79</v>
      </c>
      <c r="B91" s="16"/>
      <c r="C91" s="19"/>
      <c r="D91" s="24"/>
      <c r="E91" s="3"/>
      <c r="F91" s="65"/>
      <c r="G91" s="65"/>
      <c r="H91" s="65"/>
      <c r="I91" s="66"/>
      <c r="J91" s="66"/>
      <c r="K91" s="66"/>
      <c r="L91" s="65"/>
      <c r="M91" s="65"/>
      <c r="N91" s="65"/>
      <c r="O91" s="66"/>
      <c r="P91" s="66"/>
      <c r="Q91" s="66"/>
      <c r="R91" s="65"/>
      <c r="S91" s="65"/>
      <c r="T91" s="65"/>
      <c r="U91" s="66"/>
      <c r="V91" s="66"/>
      <c r="W91" s="66"/>
      <c r="X91" s="65"/>
      <c r="Y91" s="65"/>
      <c r="Z91" s="65"/>
      <c r="AA91" s="66"/>
      <c r="AB91" s="66"/>
      <c r="AC91" s="66"/>
      <c r="AD91" s="65"/>
      <c r="AE91" s="65"/>
      <c r="AF91" s="65"/>
      <c r="AG91" s="66"/>
      <c r="AH91" s="66"/>
      <c r="AI91" s="66"/>
      <c r="AJ91" s="65"/>
      <c r="AK91" s="65"/>
      <c r="AL91" s="65"/>
      <c r="AM91" s="66"/>
      <c r="AN91" s="66"/>
      <c r="AO91" s="66"/>
    </row>
    <row r="92" spans="1:41" s="58" customFormat="1" ht="17.25" x14ac:dyDescent="0.3">
      <c r="A92" s="68" t="s">
        <v>75</v>
      </c>
      <c r="B92" s="16"/>
      <c r="C92" s="14">
        <f>H92+K92+N92+Q92+T92+W92+Z92+AC92+AF92+AI92+AL92+AO92</f>
        <v>0</v>
      </c>
      <c r="D92" s="24"/>
      <c r="E92" s="3"/>
      <c r="F92" s="132">
        <v>0</v>
      </c>
      <c r="G92" s="65"/>
      <c r="H92" s="65">
        <f t="shared" si="27"/>
        <v>0</v>
      </c>
      <c r="I92" s="132"/>
      <c r="J92" s="66"/>
      <c r="K92" s="66">
        <f t="shared" si="28"/>
        <v>0</v>
      </c>
      <c r="L92" s="65">
        <v>0</v>
      </c>
      <c r="M92" s="65"/>
      <c r="N92" s="65">
        <f t="shared" si="29"/>
        <v>0</v>
      </c>
      <c r="O92" s="132">
        <v>0</v>
      </c>
      <c r="P92" s="66"/>
      <c r="Q92" s="66">
        <f t="shared" si="30"/>
        <v>0</v>
      </c>
      <c r="R92" s="132">
        <v>0</v>
      </c>
      <c r="S92" s="65"/>
      <c r="T92" s="65">
        <f t="shared" si="31"/>
        <v>0</v>
      </c>
      <c r="U92" s="132">
        <v>0</v>
      </c>
      <c r="V92" s="66"/>
      <c r="W92" s="66">
        <f t="shared" si="32"/>
        <v>0</v>
      </c>
      <c r="X92" s="65"/>
      <c r="Y92" s="65"/>
      <c r="Z92" s="65">
        <f t="shared" si="33"/>
        <v>0</v>
      </c>
      <c r="AA92" s="66"/>
      <c r="AB92" s="66"/>
      <c r="AC92" s="66">
        <f t="shared" si="34"/>
        <v>0</v>
      </c>
      <c r="AD92" s="65"/>
      <c r="AE92" s="65"/>
      <c r="AF92" s="65">
        <f t="shared" si="35"/>
        <v>0</v>
      </c>
      <c r="AG92" s="66"/>
      <c r="AH92" s="66"/>
      <c r="AI92" s="66">
        <f t="shared" si="36"/>
        <v>0</v>
      </c>
      <c r="AJ92" s="65"/>
      <c r="AK92" s="65"/>
      <c r="AL92" s="65">
        <f t="shared" si="37"/>
        <v>0</v>
      </c>
      <c r="AM92" s="66"/>
      <c r="AN92" s="66"/>
      <c r="AO92" s="66">
        <f t="shared" ref="AO92:AO95" si="50">AM92+AN92</f>
        <v>0</v>
      </c>
    </row>
    <row r="93" spans="1:41" s="58" customFormat="1" ht="17.25" x14ac:dyDescent="0.3">
      <c r="A93" s="15" t="s">
        <v>35</v>
      </c>
      <c r="B93" s="16"/>
      <c r="C93" s="14">
        <f>H93+K93+N93+Q93+T93+W93+Z93+AC93+AF93+AI93+AL93+AO93</f>
        <v>214478</v>
      </c>
      <c r="D93" s="24"/>
      <c r="E93" s="3"/>
      <c r="F93" s="132">
        <v>60984</v>
      </c>
      <c r="G93" s="65"/>
      <c r="H93" s="65">
        <f t="shared" si="27"/>
        <v>60984</v>
      </c>
      <c r="I93" s="132">
        <v>3158</v>
      </c>
      <c r="J93" s="66"/>
      <c r="K93" s="66">
        <f t="shared" si="28"/>
        <v>3158</v>
      </c>
      <c r="L93" s="65">
        <v>0</v>
      </c>
      <c r="M93" s="65"/>
      <c r="N93" s="65">
        <f t="shared" si="29"/>
        <v>0</v>
      </c>
      <c r="O93" s="132">
        <v>7639</v>
      </c>
      <c r="P93" s="66"/>
      <c r="Q93" s="66">
        <f t="shared" si="30"/>
        <v>7639</v>
      </c>
      <c r="R93" s="132">
        <v>142697</v>
      </c>
      <c r="S93" s="65"/>
      <c r="T93" s="65">
        <f t="shared" si="31"/>
        <v>142697</v>
      </c>
      <c r="U93" s="132">
        <v>0</v>
      </c>
      <c r="V93" s="66"/>
      <c r="W93" s="66">
        <f t="shared" si="32"/>
        <v>0</v>
      </c>
      <c r="X93" s="65"/>
      <c r="Y93" s="65"/>
      <c r="Z93" s="65">
        <f t="shared" si="33"/>
        <v>0</v>
      </c>
      <c r="AA93" s="66">
        <v>0</v>
      </c>
      <c r="AB93" s="66"/>
      <c r="AC93" s="66">
        <f t="shared" si="34"/>
        <v>0</v>
      </c>
      <c r="AD93" s="65"/>
      <c r="AE93" s="65"/>
      <c r="AF93" s="65">
        <f t="shared" si="35"/>
        <v>0</v>
      </c>
      <c r="AG93" s="66"/>
      <c r="AH93" s="66"/>
      <c r="AI93" s="66">
        <f t="shared" si="36"/>
        <v>0</v>
      </c>
      <c r="AJ93" s="65"/>
      <c r="AK93" s="65"/>
      <c r="AL93" s="65">
        <f t="shared" si="37"/>
        <v>0</v>
      </c>
      <c r="AM93" s="66"/>
      <c r="AN93" s="66"/>
      <c r="AO93" s="66">
        <f t="shared" si="50"/>
        <v>0</v>
      </c>
    </row>
    <row r="94" spans="1:41" s="58" customFormat="1" ht="17.25" x14ac:dyDescent="0.3">
      <c r="A94" s="68" t="s">
        <v>76</v>
      </c>
      <c r="B94" s="16"/>
      <c r="C94" s="14">
        <f>H94+K94+N94+Q94+T94+W94+Z94+AC94+AF94+AI94+AL94+AO94</f>
        <v>32448</v>
      </c>
      <c r="D94" s="24"/>
      <c r="E94" s="3"/>
      <c r="F94" s="132">
        <v>32448</v>
      </c>
      <c r="G94" s="65"/>
      <c r="H94" s="65">
        <f t="shared" si="27"/>
        <v>32448</v>
      </c>
      <c r="I94" s="132">
        <v>0</v>
      </c>
      <c r="J94" s="66"/>
      <c r="K94" s="66">
        <f t="shared" si="28"/>
        <v>0</v>
      </c>
      <c r="L94" s="65">
        <v>0</v>
      </c>
      <c r="M94" s="65"/>
      <c r="N94" s="65">
        <f t="shared" si="29"/>
        <v>0</v>
      </c>
      <c r="O94" s="132">
        <v>0</v>
      </c>
      <c r="P94" s="66"/>
      <c r="Q94" s="66">
        <f t="shared" si="30"/>
        <v>0</v>
      </c>
      <c r="R94" s="132">
        <v>0</v>
      </c>
      <c r="S94" s="65"/>
      <c r="T94" s="65">
        <f t="shared" si="31"/>
        <v>0</v>
      </c>
      <c r="U94" s="132">
        <v>0</v>
      </c>
      <c r="V94" s="66"/>
      <c r="W94" s="66">
        <f t="shared" si="32"/>
        <v>0</v>
      </c>
      <c r="X94" s="65"/>
      <c r="Y94" s="65"/>
      <c r="Z94" s="65">
        <f t="shared" si="33"/>
        <v>0</v>
      </c>
      <c r="AA94" s="66"/>
      <c r="AB94" s="66"/>
      <c r="AC94" s="66">
        <f t="shared" si="34"/>
        <v>0</v>
      </c>
      <c r="AD94" s="65"/>
      <c r="AE94" s="65"/>
      <c r="AF94" s="65">
        <f t="shared" si="35"/>
        <v>0</v>
      </c>
      <c r="AG94" s="66"/>
      <c r="AH94" s="66"/>
      <c r="AI94" s="66">
        <f t="shared" si="36"/>
        <v>0</v>
      </c>
      <c r="AJ94" s="65"/>
      <c r="AK94" s="65"/>
      <c r="AL94" s="65">
        <f t="shared" si="37"/>
        <v>0</v>
      </c>
      <c r="AM94" s="66"/>
      <c r="AN94" s="66"/>
      <c r="AO94" s="66">
        <f t="shared" si="50"/>
        <v>0</v>
      </c>
    </row>
    <row r="95" spans="1:41" s="58" customFormat="1" ht="18.95" customHeight="1" x14ac:dyDescent="0.3">
      <c r="A95" s="15" t="s">
        <v>36</v>
      </c>
      <c r="B95" s="16"/>
      <c r="C95" s="14">
        <f>H95+K95+N95+Q95+T95+W95+Z95+AC95+AF95+AI95+AL95+AO95</f>
        <v>219583</v>
      </c>
      <c r="D95" s="45"/>
      <c r="E95" s="3"/>
      <c r="F95" s="132">
        <v>199792</v>
      </c>
      <c r="G95" s="120">
        <v>-156074</v>
      </c>
      <c r="H95" s="65">
        <f t="shared" si="27"/>
        <v>43718</v>
      </c>
      <c r="I95" s="132">
        <v>116762</v>
      </c>
      <c r="J95" s="66"/>
      <c r="K95" s="66">
        <f t="shared" si="28"/>
        <v>116762</v>
      </c>
      <c r="L95" s="65">
        <v>0</v>
      </c>
      <c r="M95" s="65"/>
      <c r="N95" s="65">
        <f t="shared" si="29"/>
        <v>0</v>
      </c>
      <c r="O95" s="132">
        <v>28308</v>
      </c>
      <c r="P95" s="66"/>
      <c r="Q95" s="66">
        <f t="shared" si="30"/>
        <v>28308</v>
      </c>
      <c r="R95" s="132">
        <v>499390</v>
      </c>
      <c r="S95" s="120">
        <v>-492000</v>
      </c>
      <c r="T95" s="65">
        <f t="shared" si="31"/>
        <v>7390</v>
      </c>
      <c r="U95" s="132">
        <v>7980</v>
      </c>
      <c r="V95" s="120">
        <v>0</v>
      </c>
      <c r="W95" s="66">
        <f t="shared" si="32"/>
        <v>7980</v>
      </c>
      <c r="X95" s="132">
        <v>12650</v>
      </c>
      <c r="Y95" s="65"/>
      <c r="Z95" s="65">
        <f t="shared" si="33"/>
        <v>12650</v>
      </c>
      <c r="AA95" s="66">
        <v>2775</v>
      </c>
      <c r="AB95" s="66"/>
      <c r="AC95" s="66">
        <f t="shared" si="34"/>
        <v>2775</v>
      </c>
      <c r="AD95" s="65"/>
      <c r="AE95" s="65"/>
      <c r="AF95" s="65">
        <f t="shared" si="35"/>
        <v>0</v>
      </c>
      <c r="AG95" s="66"/>
      <c r="AH95" s="66"/>
      <c r="AI95" s="66">
        <f t="shared" si="36"/>
        <v>0</v>
      </c>
      <c r="AJ95" s="65"/>
      <c r="AK95" s="97"/>
      <c r="AL95" s="65">
        <f t="shared" si="37"/>
        <v>0</v>
      </c>
      <c r="AM95" s="66"/>
      <c r="AN95" s="66"/>
      <c r="AO95" s="66">
        <f t="shared" si="50"/>
        <v>0</v>
      </c>
    </row>
    <row r="96" spans="1:41" s="58" customFormat="1" ht="18.95" customHeight="1" x14ac:dyDescent="0.3">
      <c r="A96" s="70" t="s">
        <v>80</v>
      </c>
      <c r="B96" s="16"/>
      <c r="C96" s="28">
        <f>SUM(C92:C95)</f>
        <v>466509</v>
      </c>
      <c r="D96" s="28"/>
      <c r="E96" s="3"/>
      <c r="F96" s="28">
        <f>SUM(F92:F95)</f>
        <v>293224</v>
      </c>
      <c r="G96" s="28">
        <f>SUM(G92:G95)</f>
        <v>-156074</v>
      </c>
      <c r="H96" s="28">
        <f>SUM(H92:H95)</f>
        <v>137150</v>
      </c>
      <c r="I96" s="28">
        <f t="shared" ref="I96:AO96" si="51">SUM(I92:I95)</f>
        <v>119920</v>
      </c>
      <c r="J96" s="28">
        <f t="shared" si="51"/>
        <v>0</v>
      </c>
      <c r="K96" s="28">
        <f t="shared" si="51"/>
        <v>119920</v>
      </c>
      <c r="L96" s="28">
        <f t="shared" si="51"/>
        <v>0</v>
      </c>
      <c r="M96" s="28">
        <f t="shared" si="51"/>
        <v>0</v>
      </c>
      <c r="N96" s="28">
        <f t="shared" si="51"/>
        <v>0</v>
      </c>
      <c r="O96" s="28">
        <f t="shared" si="51"/>
        <v>35947</v>
      </c>
      <c r="P96" s="28">
        <f t="shared" si="51"/>
        <v>0</v>
      </c>
      <c r="Q96" s="28">
        <f t="shared" si="51"/>
        <v>35947</v>
      </c>
      <c r="R96" s="28">
        <f t="shared" si="51"/>
        <v>642087</v>
      </c>
      <c r="S96" s="28">
        <f t="shared" si="51"/>
        <v>-492000</v>
      </c>
      <c r="T96" s="28">
        <f t="shared" si="51"/>
        <v>150087</v>
      </c>
      <c r="U96" s="28">
        <f t="shared" si="51"/>
        <v>7980</v>
      </c>
      <c r="V96" s="28">
        <f t="shared" si="51"/>
        <v>0</v>
      </c>
      <c r="W96" s="28">
        <f t="shared" si="51"/>
        <v>7980</v>
      </c>
      <c r="X96" s="28">
        <f t="shared" si="51"/>
        <v>12650</v>
      </c>
      <c r="Y96" s="28">
        <f t="shared" si="51"/>
        <v>0</v>
      </c>
      <c r="Z96" s="28">
        <f t="shared" si="51"/>
        <v>12650</v>
      </c>
      <c r="AA96" s="28">
        <f t="shared" si="51"/>
        <v>2775</v>
      </c>
      <c r="AB96" s="28">
        <f t="shared" si="51"/>
        <v>0</v>
      </c>
      <c r="AC96" s="28">
        <f t="shared" si="51"/>
        <v>2775</v>
      </c>
      <c r="AD96" s="28">
        <f t="shared" si="51"/>
        <v>0</v>
      </c>
      <c r="AE96" s="28">
        <f t="shared" si="51"/>
        <v>0</v>
      </c>
      <c r="AF96" s="28">
        <f t="shared" si="51"/>
        <v>0</v>
      </c>
      <c r="AG96" s="28">
        <f t="shared" si="51"/>
        <v>0</v>
      </c>
      <c r="AH96" s="28">
        <f t="shared" si="51"/>
        <v>0</v>
      </c>
      <c r="AI96" s="28">
        <f t="shared" si="51"/>
        <v>0</v>
      </c>
      <c r="AJ96" s="28">
        <f t="shared" si="51"/>
        <v>0</v>
      </c>
      <c r="AK96" s="28">
        <f t="shared" si="51"/>
        <v>0</v>
      </c>
      <c r="AL96" s="28">
        <f t="shared" si="51"/>
        <v>0</v>
      </c>
      <c r="AM96" s="28">
        <f t="shared" si="51"/>
        <v>0</v>
      </c>
      <c r="AN96" s="28">
        <f t="shared" si="51"/>
        <v>0</v>
      </c>
      <c r="AO96" s="28">
        <f t="shared" si="51"/>
        <v>0</v>
      </c>
    </row>
    <row r="97" spans="1:42" s="58" customFormat="1" ht="18.95" customHeight="1" x14ac:dyDescent="0.3">
      <c r="A97" s="70" t="s">
        <v>81</v>
      </c>
      <c r="B97" s="16"/>
      <c r="C97" s="72">
        <f>C89+C96</f>
        <v>3113778</v>
      </c>
      <c r="D97" s="28"/>
      <c r="E97" s="3"/>
      <c r="F97" s="72">
        <f>F89+F96</f>
        <v>2940493</v>
      </c>
      <c r="G97" s="72">
        <f t="shared" ref="G97:AO97" si="52">G89+G96</f>
        <v>-156074</v>
      </c>
      <c r="H97" s="72">
        <f t="shared" si="52"/>
        <v>2784419</v>
      </c>
      <c r="I97" s="72">
        <f t="shared" si="52"/>
        <v>119920</v>
      </c>
      <c r="J97" s="72">
        <f t="shared" si="52"/>
        <v>0</v>
      </c>
      <c r="K97" s="72">
        <f t="shared" si="52"/>
        <v>119920</v>
      </c>
      <c r="L97" s="72">
        <f t="shared" si="52"/>
        <v>0</v>
      </c>
      <c r="M97" s="72">
        <f t="shared" si="52"/>
        <v>0</v>
      </c>
      <c r="N97" s="72">
        <f t="shared" si="52"/>
        <v>0</v>
      </c>
      <c r="O97" s="72">
        <f t="shared" si="52"/>
        <v>35947</v>
      </c>
      <c r="P97" s="72">
        <f t="shared" si="52"/>
        <v>0</v>
      </c>
      <c r="Q97" s="72">
        <f t="shared" si="52"/>
        <v>35947</v>
      </c>
      <c r="R97" s="72">
        <f t="shared" si="52"/>
        <v>642087</v>
      </c>
      <c r="S97" s="72">
        <f t="shared" si="52"/>
        <v>-492000</v>
      </c>
      <c r="T97" s="72">
        <f t="shared" si="52"/>
        <v>150087</v>
      </c>
      <c r="U97" s="72">
        <f t="shared" si="52"/>
        <v>7980</v>
      </c>
      <c r="V97" s="72">
        <f t="shared" si="52"/>
        <v>0</v>
      </c>
      <c r="W97" s="72">
        <f t="shared" si="52"/>
        <v>7980</v>
      </c>
      <c r="X97" s="72">
        <f t="shared" si="52"/>
        <v>12650</v>
      </c>
      <c r="Y97" s="72">
        <f t="shared" si="52"/>
        <v>0</v>
      </c>
      <c r="Z97" s="72">
        <f t="shared" si="52"/>
        <v>12650</v>
      </c>
      <c r="AA97" s="72">
        <f t="shared" si="52"/>
        <v>2775</v>
      </c>
      <c r="AB97" s="72">
        <f t="shared" si="52"/>
        <v>0</v>
      </c>
      <c r="AC97" s="72">
        <f t="shared" si="52"/>
        <v>2775</v>
      </c>
      <c r="AD97" s="72">
        <f t="shared" si="52"/>
        <v>0</v>
      </c>
      <c r="AE97" s="72">
        <f t="shared" si="52"/>
        <v>0</v>
      </c>
      <c r="AF97" s="72">
        <f t="shared" si="52"/>
        <v>0</v>
      </c>
      <c r="AG97" s="72">
        <f t="shared" si="52"/>
        <v>0</v>
      </c>
      <c r="AH97" s="72">
        <f t="shared" si="52"/>
        <v>0</v>
      </c>
      <c r="AI97" s="72">
        <f t="shared" si="52"/>
        <v>0</v>
      </c>
      <c r="AJ97" s="72">
        <f t="shared" si="52"/>
        <v>0</v>
      </c>
      <c r="AK97" s="72">
        <f t="shared" si="52"/>
        <v>0</v>
      </c>
      <c r="AL97" s="72">
        <f t="shared" si="52"/>
        <v>0</v>
      </c>
      <c r="AM97" s="72">
        <f t="shared" si="52"/>
        <v>0</v>
      </c>
      <c r="AN97" s="72">
        <f t="shared" si="52"/>
        <v>0</v>
      </c>
      <c r="AO97" s="72">
        <f t="shared" si="52"/>
        <v>0</v>
      </c>
      <c r="AP97" s="3"/>
    </row>
    <row r="98" spans="1:42" s="58" customFormat="1" ht="18.95" customHeight="1" x14ac:dyDescent="0.3">
      <c r="A98" s="4"/>
      <c r="B98" s="16"/>
      <c r="C98" s="28"/>
      <c r="D98" s="28"/>
      <c r="E98" s="3"/>
      <c r="F98" s="28"/>
      <c r="G98" s="65"/>
      <c r="H98" s="65"/>
      <c r="I98" s="66"/>
      <c r="J98" s="66"/>
      <c r="K98" s="66"/>
      <c r="L98" s="65"/>
      <c r="M98" s="65"/>
      <c r="N98" s="65"/>
      <c r="O98" s="66"/>
      <c r="P98" s="66"/>
      <c r="Q98" s="66"/>
      <c r="R98" s="65"/>
      <c r="S98" s="65"/>
      <c r="T98" s="65"/>
      <c r="U98" s="66"/>
      <c r="V98" s="66"/>
      <c r="W98" s="66"/>
      <c r="X98" s="65"/>
      <c r="Y98" s="65"/>
      <c r="Z98" s="65"/>
      <c r="AA98" s="66"/>
      <c r="AB98" s="66"/>
      <c r="AC98" s="66"/>
      <c r="AD98" s="65"/>
      <c r="AE98" s="65"/>
      <c r="AF98" s="65"/>
      <c r="AG98" s="66"/>
      <c r="AH98" s="66"/>
      <c r="AI98" s="66"/>
      <c r="AJ98" s="65"/>
      <c r="AK98" s="65"/>
      <c r="AL98" s="65"/>
      <c r="AM98" s="66"/>
      <c r="AN98" s="66"/>
      <c r="AO98" s="66"/>
      <c r="AP98" s="3"/>
    </row>
    <row r="99" spans="1:42" s="58" customFormat="1" ht="18.95" customHeight="1" thickBot="1" x14ac:dyDescent="0.35">
      <c r="A99" s="4" t="s">
        <v>37</v>
      </c>
      <c r="B99" s="16"/>
      <c r="C99" s="17">
        <f>C84+C97</f>
        <v>5736309</v>
      </c>
      <c r="D99" s="28"/>
      <c r="E99" s="3"/>
      <c r="F99" s="17">
        <f>F84+F97</f>
        <v>3724584</v>
      </c>
      <c r="G99" s="17">
        <f t="shared" ref="G99:AO99" si="53">G84+G97</f>
        <v>-156074</v>
      </c>
      <c r="H99" s="17">
        <f t="shared" si="53"/>
        <v>3568510</v>
      </c>
      <c r="I99" s="17">
        <f t="shared" si="53"/>
        <v>363297</v>
      </c>
      <c r="J99" s="17">
        <f t="shared" si="53"/>
        <v>0</v>
      </c>
      <c r="K99" s="17">
        <f t="shared" si="53"/>
        <v>363297</v>
      </c>
      <c r="L99" s="17">
        <f t="shared" si="53"/>
        <v>0</v>
      </c>
      <c r="M99" s="17">
        <f t="shared" si="53"/>
        <v>0</v>
      </c>
      <c r="N99" s="17">
        <f t="shared" si="53"/>
        <v>0</v>
      </c>
      <c r="O99" s="17">
        <f t="shared" si="53"/>
        <v>614494</v>
      </c>
      <c r="P99" s="17">
        <f t="shared" si="53"/>
        <v>0</v>
      </c>
      <c r="Q99" s="17">
        <f t="shared" si="53"/>
        <v>614494</v>
      </c>
      <c r="R99" s="17">
        <f t="shared" si="53"/>
        <v>1467285</v>
      </c>
      <c r="S99" s="17">
        <f t="shared" si="53"/>
        <v>-492000</v>
      </c>
      <c r="T99" s="17">
        <f t="shared" si="53"/>
        <v>975285</v>
      </c>
      <c r="U99" s="17">
        <f t="shared" si="53"/>
        <v>65473</v>
      </c>
      <c r="V99" s="17">
        <f t="shared" si="53"/>
        <v>0</v>
      </c>
      <c r="W99" s="17">
        <f t="shared" si="53"/>
        <v>65473</v>
      </c>
      <c r="X99" s="17">
        <f t="shared" si="53"/>
        <v>97339</v>
      </c>
      <c r="Y99" s="17">
        <f t="shared" si="53"/>
        <v>0</v>
      </c>
      <c r="Z99" s="17">
        <f t="shared" si="53"/>
        <v>97339</v>
      </c>
      <c r="AA99" s="17">
        <f t="shared" si="53"/>
        <v>49068</v>
      </c>
      <c r="AB99" s="17">
        <f t="shared" si="53"/>
        <v>0</v>
      </c>
      <c r="AC99" s="17">
        <f t="shared" si="53"/>
        <v>49068</v>
      </c>
      <c r="AD99" s="17">
        <f t="shared" si="53"/>
        <v>2843</v>
      </c>
      <c r="AE99" s="17">
        <f t="shared" si="53"/>
        <v>0</v>
      </c>
      <c r="AF99" s="17">
        <f t="shared" si="53"/>
        <v>2843</v>
      </c>
      <c r="AG99" s="17">
        <f t="shared" si="53"/>
        <v>0</v>
      </c>
      <c r="AH99" s="17">
        <f t="shared" si="53"/>
        <v>0</v>
      </c>
      <c r="AI99" s="17">
        <f t="shared" si="53"/>
        <v>0</v>
      </c>
      <c r="AJ99" s="17">
        <f t="shared" si="53"/>
        <v>0</v>
      </c>
      <c r="AK99" s="17">
        <f t="shared" si="53"/>
        <v>0</v>
      </c>
      <c r="AL99" s="17">
        <f t="shared" si="53"/>
        <v>0</v>
      </c>
      <c r="AM99" s="17">
        <f t="shared" si="53"/>
        <v>0</v>
      </c>
      <c r="AN99" s="17">
        <f t="shared" si="53"/>
        <v>0</v>
      </c>
      <c r="AO99" s="17">
        <f t="shared" si="53"/>
        <v>0</v>
      </c>
      <c r="AP99" s="3"/>
    </row>
    <row r="100" spans="1:42" s="58" customFormat="1" ht="15.75" thickTop="1" x14ac:dyDescent="0.2">
      <c r="A100" s="3"/>
      <c r="B100" s="3"/>
      <c r="C100" s="73">
        <f>C74-C99</f>
        <v>0</v>
      </c>
      <c r="D100" s="50"/>
      <c r="E100" s="3"/>
      <c r="F100" s="73">
        <f>F74-F99</f>
        <v>0</v>
      </c>
      <c r="G100" s="73">
        <f t="shared" ref="G100:AO100" si="54">G74-G99</f>
        <v>56074</v>
      </c>
      <c r="H100" s="73">
        <f t="shared" si="54"/>
        <v>56074</v>
      </c>
      <c r="I100" s="73">
        <f t="shared" si="54"/>
        <v>0</v>
      </c>
      <c r="J100" s="73">
        <f t="shared" si="54"/>
        <v>-46940</v>
      </c>
      <c r="K100" s="73">
        <f t="shared" si="54"/>
        <v>-46940</v>
      </c>
      <c r="L100" s="73">
        <f t="shared" si="54"/>
        <v>0</v>
      </c>
      <c r="M100" s="73">
        <f t="shared" si="54"/>
        <v>0</v>
      </c>
      <c r="N100" s="73">
        <f t="shared" si="54"/>
        <v>0</v>
      </c>
      <c r="O100" s="73">
        <f t="shared" si="54"/>
        <v>0</v>
      </c>
      <c r="P100" s="73">
        <f t="shared" si="54"/>
        <v>-471829</v>
      </c>
      <c r="Q100" s="73">
        <f t="shared" si="54"/>
        <v>-471829</v>
      </c>
      <c r="R100" s="73">
        <f t="shared" si="54"/>
        <v>0</v>
      </c>
      <c r="S100" s="73">
        <f t="shared" si="54"/>
        <v>492000</v>
      </c>
      <c r="T100" s="73">
        <f t="shared" si="54"/>
        <v>492000</v>
      </c>
      <c r="U100" s="73">
        <f t="shared" si="54"/>
        <v>0</v>
      </c>
      <c r="V100" s="73">
        <f t="shared" si="54"/>
        <v>-12860</v>
      </c>
      <c r="W100" s="73">
        <f t="shared" si="54"/>
        <v>-12860</v>
      </c>
      <c r="X100" s="73">
        <f t="shared" si="54"/>
        <v>0</v>
      </c>
      <c r="Y100" s="73">
        <f t="shared" si="54"/>
        <v>0</v>
      </c>
      <c r="Z100" s="73">
        <f t="shared" si="54"/>
        <v>0</v>
      </c>
      <c r="AA100" s="73">
        <f t="shared" si="54"/>
        <v>0</v>
      </c>
      <c r="AB100" s="73">
        <f t="shared" si="54"/>
        <v>-16445</v>
      </c>
      <c r="AC100" s="73">
        <f t="shared" si="54"/>
        <v>-16445</v>
      </c>
      <c r="AD100" s="73">
        <f t="shared" si="54"/>
        <v>0</v>
      </c>
      <c r="AE100" s="73">
        <f t="shared" si="54"/>
        <v>0</v>
      </c>
      <c r="AF100" s="73">
        <f t="shared" si="54"/>
        <v>0</v>
      </c>
      <c r="AG100" s="73">
        <f t="shared" si="54"/>
        <v>0</v>
      </c>
      <c r="AH100" s="73">
        <f t="shared" si="54"/>
        <v>0</v>
      </c>
      <c r="AI100" s="73">
        <f t="shared" si="54"/>
        <v>0</v>
      </c>
      <c r="AJ100" s="73">
        <f t="shared" si="54"/>
        <v>0</v>
      </c>
      <c r="AK100" s="73">
        <f t="shared" si="54"/>
        <v>0</v>
      </c>
      <c r="AL100" s="73">
        <f t="shared" si="54"/>
        <v>0</v>
      </c>
      <c r="AM100" s="73">
        <f t="shared" si="54"/>
        <v>0</v>
      </c>
      <c r="AN100" s="73">
        <f t="shared" si="54"/>
        <v>0</v>
      </c>
      <c r="AO100" s="73">
        <f t="shared" si="54"/>
        <v>0</v>
      </c>
      <c r="AP100" s="51"/>
    </row>
    <row r="101" spans="1:42" s="58" customFormat="1" x14ac:dyDescent="0.2">
      <c r="A101" s="3"/>
      <c r="B101" s="3"/>
      <c r="C101" s="50"/>
      <c r="D101" s="50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 t="s">
        <v>163</v>
      </c>
      <c r="AO101" s="51">
        <f>SUM(F100:AO100)</f>
        <v>0</v>
      </c>
      <c r="AP101" s="3"/>
    </row>
    <row r="102" spans="1:42" s="58" customFormat="1" x14ac:dyDescent="0.2">
      <c r="A102" s="3"/>
      <c r="B102" s="3"/>
      <c r="C102" s="51"/>
      <c r="D102" s="52"/>
      <c r="E102" s="3"/>
      <c r="F102" s="3"/>
      <c r="G102" s="51">
        <f>SUM(G100)</f>
        <v>56074</v>
      </c>
      <c r="H102" s="51"/>
      <c r="I102" s="51"/>
      <c r="J102" s="51">
        <f t="shared" ref="J102:AB102" si="55">SUM(J100)</f>
        <v>-46940</v>
      </c>
      <c r="K102" s="51"/>
      <c r="L102" s="51"/>
      <c r="M102" s="51">
        <f t="shared" si="55"/>
        <v>0</v>
      </c>
      <c r="N102" s="51"/>
      <c r="O102" s="51"/>
      <c r="P102" s="51">
        <f t="shared" si="55"/>
        <v>-471829</v>
      </c>
      <c r="Q102" s="51"/>
      <c r="R102" s="51"/>
      <c r="S102" s="51">
        <f t="shared" si="55"/>
        <v>492000</v>
      </c>
      <c r="T102" s="51"/>
      <c r="U102" s="51"/>
      <c r="V102" s="51">
        <f t="shared" si="55"/>
        <v>-12860</v>
      </c>
      <c r="W102" s="51"/>
      <c r="X102" s="51"/>
      <c r="Y102" s="51">
        <f t="shared" si="55"/>
        <v>0</v>
      </c>
      <c r="Z102" s="51"/>
      <c r="AA102" s="51"/>
      <c r="AB102" s="51">
        <f t="shared" si="55"/>
        <v>-16445</v>
      </c>
      <c r="AC102" s="51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2" s="58" customFormat="1" x14ac:dyDescent="0.2">
      <c r="A103" s="15" t="s">
        <v>165</v>
      </c>
      <c r="B103" s="147"/>
      <c r="C103" s="147"/>
      <c r="D103" s="56"/>
      <c r="E103" s="51"/>
      <c r="F103" s="51">
        <f>SUM(G102:AC102)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 s="58" customFormat="1" x14ac:dyDescent="0.2">
      <c r="A104" s="15" t="s">
        <v>166</v>
      </c>
      <c r="B104" s="3"/>
      <c r="C104" s="15"/>
      <c r="D104" s="12"/>
      <c r="E104" s="3"/>
      <c r="F104" s="3"/>
      <c r="G104" s="3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 s="58" customFormat="1" x14ac:dyDescent="0.2">
      <c r="A105" s="15"/>
      <c r="B105" s="3"/>
      <c r="C105" s="15"/>
      <c r="D105" s="12"/>
      <c r="E105" s="3"/>
      <c r="F105" s="51"/>
      <c r="G105" s="3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1:42" s="58" customFormat="1" x14ac:dyDescent="0.2">
      <c r="A106" s="15"/>
      <c r="B106" s="3"/>
      <c r="C106" s="15"/>
      <c r="D106" s="1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2" s="58" customFormat="1" x14ac:dyDescent="0.2">
      <c r="A107" s="15"/>
      <c r="B107" s="3"/>
      <c r="C107" s="15"/>
      <c r="D107" s="1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1:42" s="58" customFormat="1" ht="15.75" x14ac:dyDescent="0.25">
      <c r="A108" s="71" t="s">
        <v>130</v>
      </c>
      <c r="B108" s="3"/>
      <c r="C108" s="15"/>
      <c r="D108" s="1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1:42" s="58" customFormat="1" x14ac:dyDescent="0.2">
      <c r="A109" s="15" t="s">
        <v>131</v>
      </c>
      <c r="B109" s="147"/>
      <c r="C109" s="102">
        <f>F109+I109+L109+O109+R109+U109+X109+AA109+AD109+AG109+AJ109+AM109</f>
        <v>257611.18</v>
      </c>
      <c r="D109" s="56"/>
      <c r="E109" s="3"/>
      <c r="F109" s="3">
        <v>257611.18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1:42" s="58" customFormat="1" x14ac:dyDescent="0.2">
      <c r="A110" s="15" t="s">
        <v>132</v>
      </c>
      <c r="B110" s="147"/>
      <c r="C110" s="102">
        <f>F110+I110+L110+O110+R110+U110+X110+AA110+AD110+AG110+AJ110+AM110</f>
        <v>0</v>
      </c>
      <c r="D110" s="56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1:42" s="58" customFormat="1" x14ac:dyDescent="0.2">
      <c r="A111" s="15" t="s">
        <v>133</v>
      </c>
      <c r="B111" s="147"/>
      <c r="C111" s="102">
        <f t="shared" ref="C111:C123" si="56">F111+I111+L111+O111+R111+U111+X111+AA111+AD111+AG111+AJ111+AM111</f>
        <v>29700</v>
      </c>
      <c r="D111" s="56"/>
      <c r="E111" s="3"/>
      <c r="F111" s="3">
        <v>29700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1:42" s="58" customFormat="1" x14ac:dyDescent="0.2">
      <c r="A112" s="15" t="s">
        <v>134</v>
      </c>
      <c r="B112" s="147"/>
      <c r="C112" s="102">
        <f t="shared" si="56"/>
        <v>20960</v>
      </c>
      <c r="D112" s="56"/>
      <c r="E112" s="3"/>
      <c r="F112" s="3">
        <v>20960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1:27" s="58" customFormat="1" x14ac:dyDescent="0.2">
      <c r="A113" s="15" t="s">
        <v>146</v>
      </c>
      <c r="B113" s="147"/>
      <c r="C113" s="102">
        <f t="shared" si="56"/>
        <v>0</v>
      </c>
      <c r="D113" s="56"/>
    </row>
    <row r="114" spans="1:27" s="58" customFormat="1" x14ac:dyDescent="0.2">
      <c r="A114" s="15" t="s">
        <v>180</v>
      </c>
      <c r="B114" s="147"/>
      <c r="C114" s="102">
        <f t="shared" si="56"/>
        <v>-33633</v>
      </c>
      <c r="D114" s="56"/>
      <c r="F114" s="58">
        <v>-33633</v>
      </c>
    </row>
    <row r="115" spans="1:27" s="58" customFormat="1" x14ac:dyDescent="0.2">
      <c r="A115" s="15" t="s">
        <v>135</v>
      </c>
      <c r="B115" s="147"/>
      <c r="C115" s="102">
        <f t="shared" si="56"/>
        <v>146478</v>
      </c>
      <c r="D115" s="56"/>
      <c r="I115" s="58">
        <v>54098</v>
      </c>
      <c r="O115" s="58">
        <v>67600</v>
      </c>
      <c r="R115" s="58">
        <v>24780</v>
      </c>
    </row>
    <row r="116" spans="1:27" s="58" customFormat="1" x14ac:dyDescent="0.2">
      <c r="A116" s="15" t="s">
        <v>136</v>
      </c>
      <c r="B116" s="147"/>
      <c r="C116" s="102">
        <f t="shared" si="56"/>
        <v>116320</v>
      </c>
      <c r="D116" s="56"/>
      <c r="F116" s="58">
        <v>28684</v>
      </c>
      <c r="O116" s="58">
        <v>73636</v>
      </c>
      <c r="U116" s="58">
        <v>0</v>
      </c>
      <c r="X116" s="58">
        <v>8000</v>
      </c>
      <c r="AA116" s="58">
        <v>6000</v>
      </c>
    </row>
    <row r="117" spans="1:27" s="58" customFormat="1" x14ac:dyDescent="0.2">
      <c r="A117" s="15" t="s">
        <v>143</v>
      </c>
      <c r="B117" s="147"/>
      <c r="C117" s="102">
        <f t="shared" si="56"/>
        <v>35534.6</v>
      </c>
      <c r="D117" s="56"/>
      <c r="F117" s="58">
        <v>35534.6</v>
      </c>
    </row>
    <row r="118" spans="1:27" s="58" customFormat="1" x14ac:dyDescent="0.2">
      <c r="A118" s="15" t="s">
        <v>140</v>
      </c>
      <c r="B118" s="147"/>
      <c r="C118" s="102">
        <f t="shared" si="56"/>
        <v>23839.33</v>
      </c>
      <c r="D118" s="56"/>
      <c r="F118" s="58">
        <f>21565.13+2274.2</f>
        <v>23839.33</v>
      </c>
    </row>
    <row r="119" spans="1:27" s="58" customFormat="1" x14ac:dyDescent="0.2">
      <c r="A119" s="15" t="s">
        <v>137</v>
      </c>
      <c r="B119" s="147"/>
      <c r="C119" s="102">
        <f t="shared" si="56"/>
        <v>60442</v>
      </c>
      <c r="D119" s="56"/>
      <c r="O119" s="58">
        <v>60442</v>
      </c>
    </row>
    <row r="120" spans="1:27" s="58" customFormat="1" x14ac:dyDescent="0.2">
      <c r="A120" s="15" t="s">
        <v>138</v>
      </c>
      <c r="B120" s="147"/>
      <c r="C120" s="102">
        <f t="shared" si="56"/>
        <v>191924</v>
      </c>
      <c r="D120" s="56"/>
      <c r="O120" s="58">
        <v>191924</v>
      </c>
    </row>
    <row r="121" spans="1:27" s="58" customFormat="1" x14ac:dyDescent="0.2">
      <c r="A121" s="15" t="s">
        <v>144</v>
      </c>
      <c r="B121" s="147"/>
      <c r="C121" s="102">
        <f t="shared" si="56"/>
        <v>0</v>
      </c>
      <c r="D121" s="56"/>
    </row>
    <row r="122" spans="1:27" s="58" customFormat="1" x14ac:dyDescent="0.2">
      <c r="A122" s="15" t="s">
        <v>139</v>
      </c>
      <c r="B122" s="2"/>
      <c r="C122" s="102">
        <f t="shared" si="56"/>
        <v>31390</v>
      </c>
      <c r="D122" s="57"/>
      <c r="R122" s="58">
        <v>31390</v>
      </c>
    </row>
    <row r="123" spans="1:27" s="58" customFormat="1" x14ac:dyDescent="0.2">
      <c r="A123" s="15" t="s">
        <v>141</v>
      </c>
      <c r="B123" s="2"/>
      <c r="C123" s="102">
        <f t="shared" si="56"/>
        <v>18547</v>
      </c>
      <c r="D123" s="57"/>
      <c r="F123" s="58">
        <f>1560+8406</f>
        <v>9966</v>
      </c>
      <c r="I123" s="58">
        <v>8581</v>
      </c>
    </row>
    <row r="124" spans="1:27" s="58" customFormat="1" x14ac:dyDescent="0.2">
      <c r="A124" s="3"/>
      <c r="B124" s="2"/>
      <c r="C124" s="103"/>
      <c r="D124" s="57"/>
    </row>
    <row r="125" spans="1:27" s="58" customFormat="1" x14ac:dyDescent="0.2">
      <c r="A125" s="3" t="s">
        <v>142</v>
      </c>
      <c r="B125" s="2"/>
      <c r="C125" s="103">
        <f>SUM(C109:C124)</f>
        <v>899113.10999999987</v>
      </c>
      <c r="D125" s="57"/>
      <c r="F125" s="103">
        <f>SUM(F109:F124)</f>
        <v>372662.11</v>
      </c>
      <c r="I125" s="103"/>
      <c r="O125" s="103"/>
      <c r="R125" s="103"/>
    </row>
    <row r="126" spans="1:27" s="58" customFormat="1" x14ac:dyDescent="0.2">
      <c r="A126" s="3"/>
      <c r="B126" s="2"/>
      <c r="C126" s="2"/>
      <c r="D126" s="57"/>
    </row>
    <row r="127" spans="1:27" s="58" customFormat="1" x14ac:dyDescent="0.2">
      <c r="A127" s="3"/>
      <c r="B127" s="2"/>
      <c r="C127" s="2"/>
      <c r="D127" s="57"/>
    </row>
    <row r="128" spans="1:27" s="58" customFormat="1" x14ac:dyDescent="0.2">
      <c r="A128" s="3"/>
      <c r="B128" s="2"/>
      <c r="C128" s="2"/>
      <c r="D128" s="57"/>
    </row>
    <row r="129" spans="1:27" s="58" customFormat="1" x14ac:dyDescent="0.2">
      <c r="A129" s="3" t="s">
        <v>155</v>
      </c>
      <c r="B129" s="2"/>
      <c r="C129" s="102">
        <f>F129+I129+L129+O129+R129+U129+X129+AA129+AD129+AG129+AJ129+AM129</f>
        <v>0</v>
      </c>
      <c r="D129" s="57"/>
    </row>
    <row r="130" spans="1:27" s="58" customFormat="1" x14ac:dyDescent="0.2">
      <c r="A130" s="3"/>
      <c r="B130" s="2"/>
      <c r="C130" s="2"/>
      <c r="D130" s="57"/>
      <c r="F130" s="127"/>
      <c r="I130" s="127">
        <f>I27-I109-I110-I111-I112-I113-I114-I115-I116-I117-I118-I119-I120-I121-I122-I123-I124-I125-I126-I127</f>
        <v>0</v>
      </c>
      <c r="L130" s="127">
        <f>L27-L109-L110-L111-L112-L113-L114-L115-L116-L117-L118-L119-L120-L121-L122-L123-L124-L125-L126-L127</f>
        <v>0</v>
      </c>
      <c r="O130" s="127">
        <f>O27-O109-O110-O111-O112-O113-O114-O115-O116-O117-O118-O119-O120-O121-O122-O123-O124-O125-O126-O127</f>
        <v>0</v>
      </c>
      <c r="R130" s="127">
        <f>R27-R109-R110-R111-R112-R113-R114-R115-R116-R117-R118-R119-R120-R121-R122-R123-R124-R125-R126-R127</f>
        <v>0</v>
      </c>
      <c r="U130" s="127">
        <f>U27-U109-U110-U111-U112-U113-U114-U115-U116-U117-U118-U119-U120-U121-U122-U123-U124-U125-U126-U127</f>
        <v>0</v>
      </c>
      <c r="X130" s="127">
        <f>X27-X109-X110-X111-X112-X113-X114-X115-X116-X117-X118-X119-X120-X121-X122-X123-X124-X125-X126-X127</f>
        <v>0</v>
      </c>
      <c r="AA130" s="127">
        <f>AA27-AA109-AA110-AA111-AA112-AA113-AA114-AA115-AA116-AA117-AA118-AA119-AA120-AA121-AA122-AA123-AA124-AA125-AA126-AA127</f>
        <v>0</v>
      </c>
    </row>
    <row r="131" spans="1:27" s="58" customFormat="1" x14ac:dyDescent="0.2">
      <c r="A131" s="3"/>
      <c r="B131" s="2"/>
      <c r="C131" s="2"/>
      <c r="D131" s="57"/>
    </row>
    <row r="132" spans="1:27" s="58" customFormat="1" x14ac:dyDescent="0.2">
      <c r="A132" s="3"/>
      <c r="B132" s="2"/>
      <c r="C132" s="2"/>
      <c r="D132" s="57"/>
    </row>
    <row r="133" spans="1:27" s="58" customFormat="1" x14ac:dyDescent="0.2">
      <c r="A133" s="3"/>
      <c r="B133" s="2"/>
      <c r="C133" s="2"/>
      <c r="D133" s="57"/>
    </row>
    <row r="134" spans="1:27" s="58" customFormat="1" x14ac:dyDescent="0.2">
      <c r="A134" s="3"/>
      <c r="B134" s="2"/>
      <c r="C134" s="2"/>
      <c r="D134" s="57"/>
    </row>
    <row r="135" spans="1:27" s="58" customFormat="1" x14ac:dyDescent="0.2">
      <c r="A135" s="3"/>
      <c r="B135" s="2"/>
      <c r="C135" s="2"/>
      <c r="D135" s="57"/>
    </row>
    <row r="136" spans="1:27" s="58" customFormat="1" x14ac:dyDescent="0.2">
      <c r="A136" s="3"/>
      <c r="B136" s="2"/>
      <c r="C136" s="2"/>
      <c r="D136" s="57"/>
    </row>
    <row r="137" spans="1:27" s="58" customFormat="1" x14ac:dyDescent="0.2">
      <c r="A137" s="3"/>
      <c r="B137" s="2"/>
      <c r="C137" s="2"/>
      <c r="D137" s="2"/>
    </row>
    <row r="138" spans="1:27" s="58" customFormat="1" x14ac:dyDescent="0.2">
      <c r="A138" s="3"/>
      <c r="B138" s="2"/>
      <c r="C138" s="2"/>
      <c r="D138" s="2"/>
    </row>
    <row r="139" spans="1:27" s="58" customFormat="1" x14ac:dyDescent="0.2">
      <c r="A139" s="3"/>
      <c r="B139" s="2"/>
      <c r="C139" s="2"/>
      <c r="D139" s="2"/>
    </row>
    <row r="140" spans="1:27" s="58" customFormat="1" x14ac:dyDescent="0.2">
      <c r="A140" s="3"/>
      <c r="B140" s="2"/>
      <c r="C140" s="2"/>
      <c r="D140" s="2"/>
    </row>
    <row r="141" spans="1:27" s="58" customFormat="1" x14ac:dyDescent="0.2">
      <c r="A141" s="3"/>
      <c r="B141" s="2"/>
      <c r="C141" s="2"/>
      <c r="D141" s="2"/>
    </row>
    <row r="142" spans="1:27" s="58" customFormat="1" x14ac:dyDescent="0.2">
      <c r="A142" s="3"/>
      <c r="B142" s="2"/>
      <c r="C142" s="2"/>
      <c r="D142" s="2"/>
    </row>
    <row r="143" spans="1:27" s="58" customFormat="1" x14ac:dyDescent="0.2">
      <c r="A143" s="3"/>
      <c r="B143" s="2"/>
      <c r="C143" s="2"/>
      <c r="D143" s="2"/>
    </row>
    <row r="144" spans="1:27" s="58" customFormat="1" x14ac:dyDescent="0.2">
      <c r="A144" s="3"/>
      <c r="B144" s="2"/>
      <c r="C144" s="2"/>
      <c r="D144" s="2"/>
    </row>
    <row r="145" spans="2:4" s="58" customFormat="1" x14ac:dyDescent="0.2">
      <c r="B145" s="2"/>
      <c r="C145" s="2"/>
      <c r="D145" s="2"/>
    </row>
    <row r="146" spans="2:4" s="58" customFormat="1" x14ac:dyDescent="0.2">
      <c r="B146" s="2"/>
      <c r="C146" s="2"/>
      <c r="D146" s="2"/>
    </row>
    <row r="147" spans="2:4" s="58" customFormat="1" x14ac:dyDescent="0.2">
      <c r="B147" s="2"/>
      <c r="C147" s="2"/>
      <c r="D147" s="2"/>
    </row>
    <row r="148" spans="2:4" s="58" customFormat="1" x14ac:dyDescent="0.2">
      <c r="B148" s="2"/>
      <c r="C148" s="2"/>
      <c r="D148" s="2"/>
    </row>
    <row r="149" spans="2:4" s="58" customFormat="1" x14ac:dyDescent="0.2">
      <c r="B149" s="2"/>
      <c r="C149" s="2"/>
      <c r="D149" s="2"/>
    </row>
    <row r="150" spans="2:4" s="58" customFormat="1" x14ac:dyDescent="0.2">
      <c r="B150" s="2"/>
      <c r="C150" s="2"/>
      <c r="D150" s="2"/>
    </row>
    <row r="151" spans="2:4" s="58" customFormat="1" x14ac:dyDescent="0.2">
      <c r="B151" s="2"/>
      <c r="C151" s="2"/>
      <c r="D151" s="2"/>
    </row>
    <row r="152" spans="2:4" s="58" customFormat="1" x14ac:dyDescent="0.2">
      <c r="B152" s="2"/>
      <c r="C152" s="2"/>
      <c r="D152" s="2"/>
    </row>
    <row r="153" spans="2:4" s="58" customFormat="1" x14ac:dyDescent="0.2">
      <c r="B153" s="2"/>
      <c r="C153" s="2"/>
      <c r="D153" s="2"/>
    </row>
    <row r="154" spans="2:4" s="58" customFormat="1" x14ac:dyDescent="0.2">
      <c r="B154" s="2"/>
      <c r="C154" s="2"/>
      <c r="D154" s="2"/>
    </row>
    <row r="155" spans="2:4" s="58" customFormat="1" x14ac:dyDescent="0.2">
      <c r="B155" s="2"/>
      <c r="C155" s="2"/>
      <c r="D155" s="2"/>
    </row>
    <row r="156" spans="2:4" s="58" customFormat="1" x14ac:dyDescent="0.2">
      <c r="B156" s="2"/>
      <c r="C156" s="2"/>
      <c r="D156" s="2"/>
    </row>
    <row r="157" spans="2:4" s="58" customFormat="1" x14ac:dyDescent="0.2">
      <c r="B157" s="2"/>
      <c r="C157" s="2"/>
      <c r="D157" s="2"/>
    </row>
    <row r="158" spans="2:4" s="58" customFormat="1" x14ac:dyDescent="0.2">
      <c r="B158" s="2"/>
      <c r="C158" s="2"/>
      <c r="D158" s="2"/>
    </row>
    <row r="159" spans="2:4" s="58" customFormat="1" x14ac:dyDescent="0.2">
      <c r="B159" s="2"/>
      <c r="C159" s="2"/>
      <c r="D159" s="2"/>
    </row>
    <row r="160" spans="2:4" s="58" customFormat="1" x14ac:dyDescent="0.2">
      <c r="B160" s="2"/>
      <c r="C160" s="2"/>
      <c r="D160" s="2"/>
    </row>
    <row r="161" spans="2:4" s="58" customFormat="1" x14ac:dyDescent="0.2">
      <c r="B161" s="2"/>
      <c r="C161" s="2"/>
      <c r="D161" s="2"/>
    </row>
    <row r="162" spans="2:4" s="58" customFormat="1" x14ac:dyDescent="0.2">
      <c r="B162" s="2"/>
      <c r="C162" s="2"/>
      <c r="D162" s="2"/>
    </row>
    <row r="163" spans="2:4" s="58" customFormat="1" x14ac:dyDescent="0.2">
      <c r="B163" s="2"/>
      <c r="C163" s="2"/>
      <c r="D163" s="2"/>
    </row>
    <row r="164" spans="2:4" s="58" customFormat="1" x14ac:dyDescent="0.2">
      <c r="B164" s="2"/>
      <c r="C164" s="2"/>
      <c r="D164" s="2"/>
    </row>
  </sheetData>
  <mergeCells count="12">
    <mergeCell ref="AM3:AO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</mergeCells>
  <printOptions horizontalCentered="1"/>
  <pageMargins left="0.19685039370078741" right="3.937007874015748E-2" top="0.19685039370078741" bottom="0.19685039370078741" header="0" footer="0"/>
  <pageSetup paperSize="9" scale="35" firstPageNumber="2" orientation="landscape" cellComments="asDisplayed" r:id="rId1"/>
  <headerFooter alignWithMargins="0"/>
  <colBreaks count="2" manualBreakCount="2">
    <brk id="14" max="100" man="1"/>
    <brk id="29" max="100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A164"/>
  <sheetViews>
    <sheetView zoomScaleNormal="100" workbookViewId="0">
      <pane xSplit="2" ySplit="4" topLeftCell="C101" activePane="bottomRight" state="frozen"/>
      <selection pane="topRight" activeCell="C1" sqref="C1"/>
      <selection pane="bottomLeft" activeCell="A5" sqref="A5"/>
      <selection pane="bottomRight" activeCell="G136" sqref="G136"/>
    </sheetView>
  </sheetViews>
  <sheetFormatPr baseColWidth="10" defaultColWidth="12.42578125" defaultRowHeight="15" x14ac:dyDescent="0.2"/>
  <cols>
    <col min="1" max="1" width="44.7109375" style="3" customWidth="1"/>
    <col min="2" max="2" width="9" style="3" hidden="1" customWidth="1"/>
    <col min="3" max="3" width="16.28515625" style="3" customWidth="1"/>
    <col min="4" max="4" width="16.28515625" style="3" hidden="1" customWidth="1"/>
    <col min="5" max="5" width="12.42578125" style="3" customWidth="1"/>
    <col min="6" max="6" width="14.85546875" style="3" customWidth="1"/>
    <col min="7" max="7" width="15.85546875" style="3" customWidth="1"/>
    <col min="8" max="8" width="14.85546875" style="3" customWidth="1"/>
    <col min="9" max="9" width="15.5703125" style="3" bestFit="1" customWidth="1"/>
    <col min="10" max="10" width="15.85546875" style="3" customWidth="1"/>
    <col min="11" max="11" width="14" style="3" bestFit="1" customWidth="1"/>
    <col min="12" max="12" width="14.85546875" style="3" hidden="1" customWidth="1"/>
    <col min="13" max="13" width="10.85546875" style="3" hidden="1" customWidth="1"/>
    <col min="14" max="14" width="14.85546875" style="3" hidden="1" customWidth="1"/>
    <col min="15" max="15" width="14.85546875" style="3" customWidth="1"/>
    <col min="16" max="16" width="13" style="3" customWidth="1"/>
    <col min="17" max="17" width="14.85546875" style="3" customWidth="1"/>
    <col min="18" max="20" width="13.42578125" style="3" customWidth="1"/>
    <col min="21" max="21" width="13.42578125" style="3" bestFit="1" customWidth="1"/>
    <col min="22" max="22" width="10.85546875" style="3" bestFit="1" customWidth="1"/>
    <col min="23" max="23" width="13.42578125" style="3" bestFit="1" customWidth="1"/>
    <col min="24" max="24" width="12.5703125" style="3" bestFit="1" customWidth="1"/>
    <col min="25" max="25" width="10.85546875" style="3" bestFit="1" customWidth="1"/>
    <col min="26" max="26" width="12.5703125" style="3" bestFit="1" customWidth="1"/>
    <col min="27" max="27" width="11.5703125" style="3" bestFit="1" customWidth="1"/>
    <col min="28" max="28" width="10.85546875" style="3" bestFit="1" customWidth="1"/>
    <col min="29" max="29" width="16" style="3" customWidth="1"/>
    <col min="30" max="41" width="9" style="3" hidden="1" customWidth="1"/>
    <col min="42" max="43" width="33" style="3" customWidth="1"/>
    <col min="44" max="235" width="12.42578125" style="3" customWidth="1"/>
    <col min="236" max="16384" width="12.42578125" style="58"/>
  </cols>
  <sheetData>
    <row r="1" spans="1:41" s="58" customFormat="1" ht="30" x14ac:dyDescent="0.4">
      <c r="A1" s="1" t="s">
        <v>39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 t="s">
        <v>176</v>
      </c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s="58" customFormat="1" ht="6.95" customHeight="1" x14ac:dyDescent="0.2">
      <c r="A2" s="3"/>
      <c r="B2" s="2"/>
      <c r="C2" s="2"/>
      <c r="D2" s="2"/>
      <c r="E2" s="3"/>
      <c r="F2" s="3"/>
      <c r="G2" s="3"/>
      <c r="H2" s="3"/>
      <c r="I2" s="3"/>
      <c r="J2" s="123"/>
      <c r="K2" s="3"/>
      <c r="L2" s="3"/>
      <c r="M2" s="3"/>
      <c r="N2" s="3"/>
      <c r="O2" s="3"/>
      <c r="P2" s="123"/>
      <c r="Q2" s="3"/>
      <c r="R2" s="3"/>
      <c r="S2" s="12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s="58" customFormat="1" x14ac:dyDescent="0.2">
      <c r="A3" s="4" t="s">
        <v>0</v>
      </c>
      <c r="B3" s="143"/>
      <c r="C3" s="143"/>
      <c r="D3" s="143"/>
      <c r="E3" s="3"/>
      <c r="F3" s="162" t="s">
        <v>41</v>
      </c>
      <c r="G3" s="162"/>
      <c r="H3" s="162"/>
      <c r="I3" s="163" t="s">
        <v>45</v>
      </c>
      <c r="J3" s="163"/>
      <c r="K3" s="163"/>
      <c r="L3" s="162" t="s">
        <v>172</v>
      </c>
      <c r="M3" s="162"/>
      <c r="N3" s="162"/>
      <c r="O3" s="163" t="s">
        <v>43</v>
      </c>
      <c r="P3" s="163"/>
      <c r="Q3" s="163"/>
      <c r="R3" s="162" t="s">
        <v>44</v>
      </c>
      <c r="S3" s="162"/>
      <c r="T3" s="162"/>
      <c r="U3" s="163" t="s">
        <v>51</v>
      </c>
      <c r="V3" s="163"/>
      <c r="W3" s="163"/>
      <c r="X3" s="162" t="s">
        <v>161</v>
      </c>
      <c r="Y3" s="162"/>
      <c r="Z3" s="162"/>
      <c r="AA3" s="163" t="s">
        <v>48</v>
      </c>
      <c r="AB3" s="163"/>
      <c r="AC3" s="163"/>
      <c r="AD3" s="162"/>
      <c r="AE3" s="162"/>
      <c r="AF3" s="162"/>
      <c r="AG3" s="163"/>
      <c r="AH3" s="163"/>
      <c r="AI3" s="163"/>
      <c r="AJ3" s="162"/>
      <c r="AK3" s="162"/>
      <c r="AL3" s="162"/>
      <c r="AM3" s="163"/>
      <c r="AN3" s="163"/>
      <c r="AO3" s="163"/>
    </row>
    <row r="4" spans="1:41" s="58" customFormat="1" x14ac:dyDescent="0.2">
      <c r="A4" s="6" t="s">
        <v>1</v>
      </c>
      <c r="B4" s="143"/>
      <c r="C4" s="7">
        <v>2016</v>
      </c>
      <c r="D4" s="8" t="s">
        <v>2</v>
      </c>
      <c r="E4" s="3"/>
      <c r="F4" s="62">
        <f>$C$4</f>
        <v>2016</v>
      </c>
      <c r="G4" s="63" t="s">
        <v>38</v>
      </c>
      <c r="H4" s="63" t="s">
        <v>40</v>
      </c>
      <c r="I4" s="61">
        <f>F4</f>
        <v>2016</v>
      </c>
      <c r="J4" s="60" t="s">
        <v>38</v>
      </c>
      <c r="K4" s="60" t="s">
        <v>40</v>
      </c>
      <c r="L4" s="62">
        <f>F4</f>
        <v>2016</v>
      </c>
      <c r="M4" s="63" t="s">
        <v>38</v>
      </c>
      <c r="N4" s="63" t="s">
        <v>40</v>
      </c>
      <c r="O4" s="61">
        <f>F4</f>
        <v>2016</v>
      </c>
      <c r="P4" s="60" t="s">
        <v>38</v>
      </c>
      <c r="Q4" s="60" t="s">
        <v>40</v>
      </c>
      <c r="R4" s="62">
        <f>F4</f>
        <v>2016</v>
      </c>
      <c r="S4" s="63" t="s">
        <v>38</v>
      </c>
      <c r="T4" s="63" t="s">
        <v>40</v>
      </c>
      <c r="U4" s="61">
        <f>F4</f>
        <v>2016</v>
      </c>
      <c r="V4" s="60" t="s">
        <v>38</v>
      </c>
      <c r="W4" s="60" t="s">
        <v>40</v>
      </c>
      <c r="X4" s="62">
        <f>F4</f>
        <v>2016</v>
      </c>
      <c r="Y4" s="63" t="s">
        <v>38</v>
      </c>
      <c r="Z4" s="63" t="s">
        <v>40</v>
      </c>
      <c r="AA4" s="61">
        <f>F4</f>
        <v>2016</v>
      </c>
      <c r="AB4" s="60" t="s">
        <v>38</v>
      </c>
      <c r="AC4" s="60" t="s">
        <v>40</v>
      </c>
      <c r="AD4" s="62"/>
      <c r="AE4" s="63" t="s">
        <v>38</v>
      </c>
      <c r="AF4" s="63" t="s">
        <v>40</v>
      </c>
      <c r="AG4" s="61"/>
      <c r="AH4" s="60" t="s">
        <v>38</v>
      </c>
      <c r="AI4" s="60" t="s">
        <v>40</v>
      </c>
      <c r="AJ4" s="62"/>
      <c r="AK4" s="63" t="s">
        <v>38</v>
      </c>
      <c r="AL4" s="63" t="s">
        <v>40</v>
      </c>
      <c r="AM4" s="61"/>
      <c r="AN4" s="60" t="s">
        <v>38</v>
      </c>
      <c r="AO4" s="60" t="s">
        <v>40</v>
      </c>
    </row>
    <row r="5" spans="1:41" s="58" customFormat="1" ht="17.100000000000001" customHeight="1" x14ac:dyDescent="0.25">
      <c r="A5" s="9" t="s">
        <v>3</v>
      </c>
      <c r="B5" s="10" t="s">
        <v>4</v>
      </c>
      <c r="C5" s="11"/>
      <c r="D5" s="11" t="s">
        <v>2</v>
      </c>
      <c r="E5" s="3"/>
      <c r="F5" s="65"/>
      <c r="G5" s="65"/>
      <c r="H5" s="65"/>
      <c r="I5" s="66"/>
      <c r="J5" s="66"/>
      <c r="K5" s="66"/>
      <c r="L5" s="65"/>
      <c r="M5" s="65"/>
      <c r="N5" s="65"/>
      <c r="O5" s="66"/>
      <c r="P5" s="66"/>
      <c r="Q5" s="66"/>
      <c r="R5" s="65"/>
      <c r="S5" s="65"/>
      <c r="T5" s="65"/>
      <c r="U5" s="66"/>
      <c r="V5" s="66"/>
      <c r="W5" s="66"/>
      <c r="X5" s="65"/>
      <c r="Y5" s="65"/>
      <c r="Z5" s="65"/>
      <c r="AA5" s="66"/>
      <c r="AB5" s="66"/>
      <c r="AC5" s="66"/>
      <c r="AD5" s="65"/>
      <c r="AE5" s="65"/>
      <c r="AF5" s="65"/>
      <c r="AG5" s="66"/>
      <c r="AH5" s="66"/>
      <c r="AI5" s="66"/>
      <c r="AJ5" s="65"/>
      <c r="AK5" s="65"/>
      <c r="AL5" s="65"/>
      <c r="AM5" s="66"/>
      <c r="AN5" s="66"/>
      <c r="AO5" s="66"/>
    </row>
    <row r="6" spans="1:41" s="58" customFormat="1" ht="9" customHeight="1" x14ac:dyDescent="0.2">
      <c r="A6" s="12"/>
      <c r="B6" s="13"/>
      <c r="C6" s="12"/>
      <c r="D6" s="12"/>
      <c r="E6" s="3"/>
      <c r="F6" s="65"/>
      <c r="G6" s="65"/>
      <c r="H6" s="65"/>
      <c r="I6" s="66"/>
      <c r="J6" s="66"/>
      <c r="K6" s="66"/>
      <c r="L6" s="65"/>
      <c r="M6" s="65"/>
      <c r="N6" s="65"/>
      <c r="O6" s="66"/>
      <c r="P6" s="66"/>
      <c r="Q6" s="66"/>
      <c r="R6" s="65"/>
      <c r="S6" s="65"/>
      <c r="T6" s="65"/>
      <c r="U6" s="66"/>
      <c r="V6" s="66"/>
      <c r="W6" s="66"/>
      <c r="X6" s="65"/>
      <c r="Y6" s="65"/>
      <c r="Z6" s="65"/>
      <c r="AA6" s="66"/>
      <c r="AB6" s="66"/>
      <c r="AC6" s="66"/>
      <c r="AD6" s="65"/>
      <c r="AE6" s="65"/>
      <c r="AF6" s="65"/>
      <c r="AG6" s="66"/>
      <c r="AH6" s="66"/>
      <c r="AI6" s="66"/>
      <c r="AJ6" s="65"/>
      <c r="AK6" s="65"/>
      <c r="AL6" s="65"/>
      <c r="AM6" s="66"/>
      <c r="AN6" s="66"/>
      <c r="AO6" s="66"/>
    </row>
    <row r="7" spans="1:41" s="58" customFormat="1" ht="17.25" customHeight="1" x14ac:dyDescent="0.2">
      <c r="A7" s="64" t="s">
        <v>82</v>
      </c>
      <c r="B7" s="13"/>
      <c r="C7" s="14">
        <f>H7+K7+N7+Q7+T7+W7+Z7+AC7+AF7+AI7+AL7</f>
        <v>298668</v>
      </c>
      <c r="D7" s="14">
        <v>60000</v>
      </c>
      <c r="E7" s="3"/>
      <c r="F7" s="132">
        <v>0</v>
      </c>
      <c r="G7" s="65"/>
      <c r="H7" s="65">
        <f t="shared" ref="H7:H41" si="0">F7+G7</f>
        <v>0</v>
      </c>
      <c r="I7" s="132">
        <v>58427</v>
      </c>
      <c r="J7" s="66"/>
      <c r="K7" s="66">
        <f t="shared" ref="K7:K41" si="1">I7+J7</f>
        <v>58427</v>
      </c>
      <c r="L7" s="132"/>
      <c r="M7" s="65"/>
      <c r="N7" s="65">
        <f t="shared" ref="N7:N41" si="2">L7+M7</f>
        <v>0</v>
      </c>
      <c r="O7" s="132">
        <v>98047</v>
      </c>
      <c r="P7" s="66"/>
      <c r="Q7" s="66">
        <f t="shared" ref="Q7:Q41" si="3">O7+P7</f>
        <v>98047</v>
      </c>
      <c r="R7" s="132">
        <v>142194</v>
      </c>
      <c r="S7" s="65"/>
      <c r="T7" s="65">
        <f t="shared" ref="T7:T41" si="4">R7+S7</f>
        <v>142194</v>
      </c>
      <c r="U7" s="66"/>
      <c r="V7" s="66"/>
      <c r="W7" s="66">
        <f t="shared" ref="W7:W41" si="5">U7+V7</f>
        <v>0</v>
      </c>
      <c r="X7" s="65"/>
      <c r="Y7" s="65"/>
      <c r="Z7" s="65">
        <f t="shared" ref="Z7:Z41" si="6">X7+Y7</f>
        <v>0</v>
      </c>
      <c r="AA7" s="66"/>
      <c r="AB7" s="66"/>
      <c r="AC7" s="66">
        <f t="shared" ref="AC7:AC41" si="7">AA7+AB7</f>
        <v>0</v>
      </c>
      <c r="AD7" s="65"/>
      <c r="AE7" s="65"/>
      <c r="AF7" s="65">
        <f t="shared" ref="AF7:AF41" si="8">AD7+AE7</f>
        <v>0</v>
      </c>
      <c r="AG7" s="66"/>
      <c r="AH7" s="66"/>
      <c r="AI7" s="66">
        <f t="shared" ref="AI7:AI41" si="9">AG7+AH7</f>
        <v>0</v>
      </c>
      <c r="AJ7" s="65"/>
      <c r="AK7" s="65"/>
      <c r="AL7" s="65">
        <f t="shared" ref="AL7:AL41" si="10">AJ7+AK7</f>
        <v>0</v>
      </c>
      <c r="AM7" s="66"/>
      <c r="AN7" s="66"/>
      <c r="AO7" s="66">
        <f t="shared" ref="AO7" si="11">AM7+AN7</f>
        <v>0</v>
      </c>
    </row>
    <row r="8" spans="1:41" s="58" customFormat="1" ht="17.25" customHeight="1" x14ac:dyDescent="0.2">
      <c r="A8" s="64" t="s">
        <v>96</v>
      </c>
      <c r="B8" s="13"/>
      <c r="C8" s="14">
        <f t="shared" ref="C8:C10" si="12">H8+K8+N8+Q8+T8+W8+Z8+AC8+AF8+AI8+AL8</f>
        <v>148174</v>
      </c>
      <c r="D8" s="14"/>
      <c r="E8" s="3"/>
      <c r="F8" s="132"/>
      <c r="G8" s="65"/>
      <c r="H8" s="65">
        <f t="shared" si="0"/>
        <v>0</v>
      </c>
      <c r="I8" s="132">
        <v>54194</v>
      </c>
      <c r="J8" s="66"/>
      <c r="K8" s="66">
        <f t="shared" si="1"/>
        <v>54194</v>
      </c>
      <c r="L8" s="132"/>
      <c r="M8" s="65"/>
      <c r="N8" s="65">
        <f>L8+M8</f>
        <v>0</v>
      </c>
      <c r="O8" s="132">
        <v>0</v>
      </c>
      <c r="P8" s="66"/>
      <c r="Q8" s="66">
        <f t="shared" si="3"/>
        <v>0</v>
      </c>
      <c r="R8" s="132">
        <v>93980</v>
      </c>
      <c r="S8" s="65"/>
      <c r="T8" s="65">
        <f t="shared" si="4"/>
        <v>93980</v>
      </c>
      <c r="U8" s="132"/>
      <c r="V8" s="66"/>
      <c r="W8" s="66">
        <f t="shared" si="5"/>
        <v>0</v>
      </c>
      <c r="X8" s="132"/>
      <c r="Y8" s="65"/>
      <c r="Z8" s="65">
        <f t="shared" si="6"/>
        <v>0</v>
      </c>
      <c r="AA8" s="132"/>
      <c r="AB8" s="66"/>
      <c r="AC8" s="66">
        <f t="shared" si="7"/>
        <v>0</v>
      </c>
      <c r="AD8" s="65"/>
      <c r="AE8" s="65"/>
      <c r="AF8" s="65"/>
      <c r="AG8" s="66"/>
      <c r="AH8" s="66"/>
      <c r="AI8" s="66"/>
      <c r="AJ8" s="65"/>
      <c r="AK8" s="65"/>
      <c r="AL8" s="65"/>
      <c r="AM8" s="66"/>
      <c r="AN8" s="66"/>
      <c r="AO8" s="66"/>
    </row>
    <row r="9" spans="1:41" s="58" customFormat="1" ht="17.25" customHeight="1" x14ac:dyDescent="0.2">
      <c r="A9" s="64" t="s">
        <v>84</v>
      </c>
      <c r="B9" s="13"/>
      <c r="C9" s="14">
        <f t="shared" si="12"/>
        <v>142630</v>
      </c>
      <c r="D9" s="14"/>
      <c r="E9" s="3"/>
      <c r="F9" s="132"/>
      <c r="G9" s="65"/>
      <c r="H9" s="65">
        <f t="shared" si="0"/>
        <v>0</v>
      </c>
      <c r="I9" s="132">
        <v>129980</v>
      </c>
      <c r="J9" s="66"/>
      <c r="K9" s="66">
        <f t="shared" si="1"/>
        <v>129980</v>
      </c>
      <c r="L9" s="132"/>
      <c r="M9" s="65"/>
      <c r="N9" s="65">
        <f>L9+M9</f>
        <v>0</v>
      </c>
      <c r="O9" s="132"/>
      <c r="P9" s="66"/>
      <c r="Q9" s="66">
        <f t="shared" si="3"/>
        <v>0</v>
      </c>
      <c r="R9" s="132"/>
      <c r="S9" s="65"/>
      <c r="T9" s="65">
        <f t="shared" si="4"/>
        <v>0</v>
      </c>
      <c r="U9" s="132">
        <v>12650</v>
      </c>
      <c r="V9" s="66"/>
      <c r="W9" s="66">
        <f t="shared" si="5"/>
        <v>12650</v>
      </c>
      <c r="X9" s="132"/>
      <c r="Y9" s="65"/>
      <c r="Z9" s="65">
        <f t="shared" si="6"/>
        <v>0</v>
      </c>
      <c r="AA9" s="132"/>
      <c r="AB9" s="66"/>
      <c r="AC9" s="66">
        <f t="shared" si="7"/>
        <v>0</v>
      </c>
      <c r="AD9" s="65"/>
      <c r="AE9" s="65"/>
      <c r="AF9" s="65"/>
      <c r="AG9" s="66"/>
      <c r="AH9" s="66"/>
      <c r="AI9" s="66"/>
      <c r="AJ9" s="65"/>
      <c r="AK9" s="65"/>
      <c r="AL9" s="65"/>
      <c r="AM9" s="66"/>
      <c r="AN9" s="66"/>
      <c r="AO9" s="66"/>
    </row>
    <row r="10" spans="1:41" s="58" customFormat="1" ht="17.25" customHeight="1" x14ac:dyDescent="0.2">
      <c r="A10" s="64" t="s">
        <v>86</v>
      </c>
      <c r="B10" s="13"/>
      <c r="C10" s="14">
        <f t="shared" si="12"/>
        <v>1014450</v>
      </c>
      <c r="D10" s="14"/>
      <c r="E10" s="3"/>
      <c r="F10" s="132"/>
      <c r="G10" s="65"/>
      <c r="H10" s="65">
        <f t="shared" si="0"/>
        <v>0</v>
      </c>
      <c r="I10" s="132">
        <v>18000</v>
      </c>
      <c r="J10" s="66"/>
      <c r="K10" s="66">
        <f t="shared" si="1"/>
        <v>18000</v>
      </c>
      <c r="L10" s="132"/>
      <c r="M10" s="65"/>
      <c r="N10" s="65">
        <f>L10+M10</f>
        <v>0</v>
      </c>
      <c r="O10" s="132">
        <v>87000</v>
      </c>
      <c r="P10" s="66"/>
      <c r="Q10" s="66">
        <f t="shared" si="3"/>
        <v>87000</v>
      </c>
      <c r="R10" s="132">
        <v>902350</v>
      </c>
      <c r="S10" s="65"/>
      <c r="T10" s="65">
        <f t="shared" si="4"/>
        <v>902350</v>
      </c>
      <c r="U10" s="132">
        <v>7100</v>
      </c>
      <c r="V10" s="66"/>
      <c r="W10" s="66">
        <f t="shared" si="5"/>
        <v>7100</v>
      </c>
      <c r="X10" s="132"/>
      <c r="Y10" s="65"/>
      <c r="Z10" s="65">
        <f t="shared" si="6"/>
        <v>0</v>
      </c>
      <c r="AA10" s="132"/>
      <c r="AB10" s="66"/>
      <c r="AC10" s="66">
        <f t="shared" si="7"/>
        <v>0</v>
      </c>
      <c r="AD10" s="65"/>
      <c r="AE10" s="65"/>
      <c r="AF10" s="65"/>
      <c r="AG10" s="66"/>
      <c r="AH10" s="66"/>
      <c r="AI10" s="66"/>
      <c r="AJ10" s="65"/>
      <c r="AK10" s="65"/>
      <c r="AL10" s="65"/>
      <c r="AM10" s="66"/>
      <c r="AN10" s="66"/>
      <c r="AO10" s="66"/>
    </row>
    <row r="11" spans="1:41" s="58" customFormat="1" ht="17.25" customHeight="1" x14ac:dyDescent="0.2">
      <c r="A11" s="64" t="s">
        <v>88</v>
      </c>
      <c r="B11" s="13"/>
      <c r="C11" s="14">
        <f t="shared" ref="C11:C21" si="13">H11+K11+N11+Q11+T11+W11+Z11+AC11+AF11+AI11+AL11+AO11</f>
        <v>199858</v>
      </c>
      <c r="D11" s="14"/>
      <c r="E11" s="3"/>
      <c r="F11" s="132">
        <v>199858</v>
      </c>
      <c r="G11" s="65"/>
      <c r="H11" s="65">
        <f t="shared" si="0"/>
        <v>199858</v>
      </c>
      <c r="I11" s="132"/>
      <c r="J11" s="66"/>
      <c r="K11" s="66">
        <f t="shared" si="1"/>
        <v>0</v>
      </c>
      <c r="L11" s="132"/>
      <c r="M11" s="65"/>
      <c r="N11" s="65">
        <f t="shared" si="2"/>
        <v>0</v>
      </c>
      <c r="O11" s="132"/>
      <c r="P11" s="66"/>
      <c r="Q11" s="66">
        <f t="shared" si="3"/>
        <v>0</v>
      </c>
      <c r="R11" s="132"/>
      <c r="S11" s="65"/>
      <c r="T11" s="65">
        <f t="shared" si="4"/>
        <v>0</v>
      </c>
      <c r="U11" s="132"/>
      <c r="V11" s="66"/>
      <c r="W11" s="66">
        <f t="shared" si="5"/>
        <v>0</v>
      </c>
      <c r="X11" s="132"/>
      <c r="Y11" s="65"/>
      <c r="Z11" s="65">
        <f t="shared" si="6"/>
        <v>0</v>
      </c>
      <c r="AA11" s="132"/>
      <c r="AB11" s="66"/>
      <c r="AC11" s="66">
        <f t="shared" si="7"/>
        <v>0</v>
      </c>
      <c r="AD11" s="65"/>
      <c r="AE11" s="65"/>
      <c r="AF11" s="65">
        <f t="shared" si="8"/>
        <v>0</v>
      </c>
      <c r="AG11" s="66"/>
      <c r="AH11" s="66"/>
      <c r="AI11" s="66">
        <f t="shared" si="9"/>
        <v>0</v>
      </c>
      <c r="AJ11" s="65"/>
      <c r="AK11" s="65"/>
      <c r="AL11" s="65">
        <f t="shared" si="10"/>
        <v>0</v>
      </c>
      <c r="AM11" s="66"/>
      <c r="AN11" s="66"/>
      <c r="AO11" s="66">
        <f t="shared" ref="AO11" si="14">AM11+AN11</f>
        <v>0</v>
      </c>
    </row>
    <row r="12" spans="1:41" s="58" customFormat="1" ht="17.25" customHeight="1" x14ac:dyDescent="0.2">
      <c r="A12" s="64" t="s">
        <v>58</v>
      </c>
      <c r="B12" s="13"/>
      <c r="C12" s="14">
        <f t="shared" si="13"/>
        <v>166485</v>
      </c>
      <c r="D12" s="14"/>
      <c r="E12" s="3"/>
      <c r="F12" s="132">
        <v>166485</v>
      </c>
      <c r="G12" s="65"/>
      <c r="H12" s="65">
        <f t="shared" si="0"/>
        <v>166485</v>
      </c>
      <c r="I12" s="132"/>
      <c r="J12" s="66"/>
      <c r="K12" s="66">
        <f t="shared" si="1"/>
        <v>0</v>
      </c>
      <c r="L12" s="132"/>
      <c r="M12" s="65"/>
      <c r="N12" s="65">
        <f>L12+M12</f>
        <v>0</v>
      </c>
      <c r="O12" s="132"/>
      <c r="P12" s="66"/>
      <c r="Q12" s="66">
        <f t="shared" si="3"/>
        <v>0</v>
      </c>
      <c r="R12" s="132"/>
      <c r="S12" s="65"/>
      <c r="T12" s="65">
        <f t="shared" si="4"/>
        <v>0</v>
      </c>
      <c r="U12" s="132"/>
      <c r="V12" s="66"/>
      <c r="W12" s="66">
        <f t="shared" si="5"/>
        <v>0</v>
      </c>
      <c r="X12" s="132"/>
      <c r="Y12" s="65"/>
      <c r="Z12" s="65">
        <f t="shared" si="6"/>
        <v>0</v>
      </c>
      <c r="AA12" s="132"/>
      <c r="AB12" s="66"/>
      <c r="AC12" s="66">
        <f t="shared" si="7"/>
        <v>0</v>
      </c>
      <c r="AD12" s="65"/>
      <c r="AE12" s="65"/>
      <c r="AF12" s="65"/>
      <c r="AG12" s="66"/>
      <c r="AH12" s="66"/>
      <c r="AI12" s="66"/>
      <c r="AJ12" s="65"/>
      <c r="AK12" s="65"/>
      <c r="AL12" s="65"/>
      <c r="AM12" s="66"/>
      <c r="AN12" s="66"/>
      <c r="AO12" s="66"/>
    </row>
    <row r="13" spans="1:41" s="58" customFormat="1" ht="17.25" customHeight="1" x14ac:dyDescent="0.2">
      <c r="A13" s="64" t="s">
        <v>59</v>
      </c>
      <c r="B13" s="13"/>
      <c r="C13" s="14">
        <f t="shared" si="13"/>
        <v>24000</v>
      </c>
      <c r="D13" s="14"/>
      <c r="E13" s="3"/>
      <c r="F13" s="132">
        <v>100000</v>
      </c>
      <c r="G13" s="120">
        <v>-100000</v>
      </c>
      <c r="H13" s="65">
        <f t="shared" si="0"/>
        <v>0</v>
      </c>
      <c r="I13" s="132"/>
      <c r="J13" s="66"/>
      <c r="K13" s="66">
        <f t="shared" si="1"/>
        <v>0</v>
      </c>
      <c r="L13" s="132"/>
      <c r="M13" s="65"/>
      <c r="N13" s="65">
        <f t="shared" si="2"/>
        <v>0</v>
      </c>
      <c r="O13" s="133">
        <v>403000</v>
      </c>
      <c r="P13" s="120">
        <v>-403000</v>
      </c>
      <c r="Q13" s="66">
        <f t="shared" si="3"/>
        <v>0</v>
      </c>
      <c r="R13" s="132"/>
      <c r="S13" s="65"/>
      <c r="T13" s="65">
        <f t="shared" si="4"/>
        <v>0</v>
      </c>
      <c r="U13" s="132">
        <v>14000</v>
      </c>
      <c r="V13" s="66"/>
      <c r="W13" s="66">
        <f t="shared" si="5"/>
        <v>14000</v>
      </c>
      <c r="X13" s="132"/>
      <c r="Y13" s="65"/>
      <c r="Z13" s="65">
        <f t="shared" si="6"/>
        <v>0</v>
      </c>
      <c r="AA13" s="132">
        <v>10000</v>
      </c>
      <c r="AB13" s="66"/>
      <c r="AC13" s="66">
        <f t="shared" si="7"/>
        <v>10000</v>
      </c>
      <c r="AD13" s="65"/>
      <c r="AE13" s="65"/>
      <c r="AF13" s="65">
        <f t="shared" si="8"/>
        <v>0</v>
      </c>
      <c r="AG13" s="66"/>
      <c r="AH13" s="66"/>
      <c r="AI13" s="66">
        <f t="shared" si="9"/>
        <v>0</v>
      </c>
      <c r="AJ13" s="65"/>
      <c r="AK13" s="65"/>
      <c r="AL13" s="65">
        <f t="shared" si="10"/>
        <v>0</v>
      </c>
      <c r="AM13" s="66"/>
      <c r="AN13" s="66"/>
      <c r="AO13" s="66">
        <f t="shared" ref="AO13:AO21" si="15">AM13+AN13</f>
        <v>0</v>
      </c>
    </row>
    <row r="14" spans="1:41" s="58" customFormat="1" ht="17.25" customHeight="1" x14ac:dyDescent="0.2">
      <c r="A14" s="64" t="s">
        <v>87</v>
      </c>
      <c r="B14" s="13"/>
      <c r="C14" s="14">
        <f t="shared" si="13"/>
        <v>42700</v>
      </c>
      <c r="D14" s="14">
        <v>80000</v>
      </c>
      <c r="E14" s="3"/>
      <c r="F14" s="132">
        <v>42700</v>
      </c>
      <c r="G14" s="65"/>
      <c r="H14" s="65">
        <f t="shared" si="0"/>
        <v>42700</v>
      </c>
      <c r="I14" s="132"/>
      <c r="J14" s="66"/>
      <c r="K14" s="66">
        <f t="shared" si="1"/>
        <v>0</v>
      </c>
      <c r="L14" s="132"/>
      <c r="M14" s="65"/>
      <c r="N14" s="65">
        <f t="shared" si="2"/>
        <v>0</v>
      </c>
      <c r="O14" s="132"/>
      <c r="P14" s="66"/>
      <c r="Q14" s="66">
        <f t="shared" si="3"/>
        <v>0</v>
      </c>
      <c r="R14" s="132"/>
      <c r="S14" s="65"/>
      <c r="T14" s="65">
        <f t="shared" si="4"/>
        <v>0</v>
      </c>
      <c r="U14" s="132"/>
      <c r="V14" s="66"/>
      <c r="W14" s="66">
        <f t="shared" si="5"/>
        <v>0</v>
      </c>
      <c r="X14" s="132"/>
      <c r="Y14" s="65"/>
      <c r="Z14" s="65">
        <f t="shared" si="6"/>
        <v>0</v>
      </c>
      <c r="AA14" s="132"/>
      <c r="AB14" s="66"/>
      <c r="AC14" s="66">
        <f t="shared" si="7"/>
        <v>0</v>
      </c>
      <c r="AD14" s="65"/>
      <c r="AE14" s="65"/>
      <c r="AF14" s="65">
        <f t="shared" si="8"/>
        <v>0</v>
      </c>
      <c r="AG14" s="66"/>
      <c r="AH14" s="66"/>
      <c r="AI14" s="66">
        <f t="shared" si="9"/>
        <v>0</v>
      </c>
      <c r="AJ14" s="65"/>
      <c r="AK14" s="65"/>
      <c r="AL14" s="65">
        <f t="shared" si="10"/>
        <v>0</v>
      </c>
      <c r="AM14" s="66"/>
      <c r="AN14" s="66"/>
      <c r="AO14" s="66">
        <f t="shared" si="15"/>
        <v>0</v>
      </c>
    </row>
    <row r="15" spans="1:41" s="58" customFormat="1" ht="17.25" customHeight="1" x14ac:dyDescent="0.2">
      <c r="A15" s="64" t="s">
        <v>53</v>
      </c>
      <c r="B15" s="13"/>
      <c r="C15" s="14">
        <f t="shared" si="13"/>
        <v>505380</v>
      </c>
      <c r="D15" s="14">
        <v>45000</v>
      </c>
      <c r="E15" s="3"/>
      <c r="F15" s="132"/>
      <c r="G15" s="65"/>
      <c r="H15" s="65">
        <f t="shared" si="0"/>
        <v>0</v>
      </c>
      <c r="I15" s="132">
        <v>195877</v>
      </c>
      <c r="J15" s="66"/>
      <c r="K15" s="66">
        <f t="shared" si="1"/>
        <v>195877</v>
      </c>
      <c r="L15" s="132"/>
      <c r="M15" s="65"/>
      <c r="N15" s="65">
        <f t="shared" si="2"/>
        <v>0</v>
      </c>
      <c r="O15" s="132">
        <v>260153</v>
      </c>
      <c r="P15" s="66"/>
      <c r="Q15" s="66">
        <f t="shared" si="3"/>
        <v>260153</v>
      </c>
      <c r="R15" s="132"/>
      <c r="S15" s="65"/>
      <c r="T15" s="65">
        <f t="shared" si="4"/>
        <v>0</v>
      </c>
      <c r="U15" s="132">
        <v>15250</v>
      </c>
      <c r="V15" s="66"/>
      <c r="W15" s="66">
        <f t="shared" si="5"/>
        <v>15250</v>
      </c>
      <c r="X15" s="132">
        <v>29100</v>
      </c>
      <c r="Y15" s="65"/>
      <c r="Z15" s="65">
        <f t="shared" si="6"/>
        <v>29100</v>
      </c>
      <c r="AA15" s="132">
        <v>5000</v>
      </c>
      <c r="AB15" s="66"/>
      <c r="AC15" s="66">
        <f t="shared" si="7"/>
        <v>5000</v>
      </c>
      <c r="AD15" s="65"/>
      <c r="AE15" s="65"/>
      <c r="AF15" s="65">
        <f t="shared" si="8"/>
        <v>0</v>
      </c>
      <c r="AG15" s="66"/>
      <c r="AH15" s="66"/>
      <c r="AI15" s="66">
        <f t="shared" si="9"/>
        <v>0</v>
      </c>
      <c r="AJ15" s="65"/>
      <c r="AK15" s="65"/>
      <c r="AL15" s="65">
        <f t="shared" si="10"/>
        <v>0</v>
      </c>
      <c r="AM15" s="66"/>
      <c r="AN15" s="66"/>
      <c r="AO15" s="66">
        <f t="shared" si="15"/>
        <v>0</v>
      </c>
    </row>
    <row r="16" spans="1:41" s="58" customFormat="1" ht="17.25" customHeight="1" x14ac:dyDescent="0.2">
      <c r="A16" s="64" t="s">
        <v>54</v>
      </c>
      <c r="B16" s="13"/>
      <c r="C16" s="14">
        <f t="shared" si="13"/>
        <v>617696</v>
      </c>
      <c r="D16" s="14">
        <v>3000</v>
      </c>
      <c r="E16" s="3"/>
      <c r="F16" s="132">
        <f>434196+252500</f>
        <v>686696</v>
      </c>
      <c r="G16" s="120">
        <v>-100000</v>
      </c>
      <c r="H16" s="65">
        <f t="shared" si="0"/>
        <v>586696</v>
      </c>
      <c r="I16" s="132">
        <v>8000</v>
      </c>
      <c r="J16" s="66"/>
      <c r="K16" s="66">
        <f t="shared" si="1"/>
        <v>8000</v>
      </c>
      <c r="L16" s="132"/>
      <c r="M16" s="65"/>
      <c r="N16" s="65">
        <f t="shared" si="2"/>
        <v>0</v>
      </c>
      <c r="O16" s="132">
        <v>10000</v>
      </c>
      <c r="P16" s="66"/>
      <c r="Q16" s="66">
        <f t="shared" si="3"/>
        <v>10000</v>
      </c>
      <c r="R16" s="132">
        <v>13000</v>
      </c>
      <c r="S16" s="65"/>
      <c r="T16" s="65">
        <f t="shared" si="4"/>
        <v>13000</v>
      </c>
      <c r="U16" s="132"/>
      <c r="V16" s="66"/>
      <c r="W16" s="66">
        <f t="shared" si="5"/>
        <v>0</v>
      </c>
      <c r="X16" s="132"/>
      <c r="Y16" s="65"/>
      <c r="Z16" s="65">
        <f t="shared" si="6"/>
        <v>0</v>
      </c>
      <c r="AA16" s="132"/>
      <c r="AB16" s="66"/>
      <c r="AC16" s="66">
        <f t="shared" si="7"/>
        <v>0</v>
      </c>
      <c r="AD16" s="65"/>
      <c r="AE16" s="65"/>
      <c r="AF16" s="65">
        <f t="shared" si="8"/>
        <v>0</v>
      </c>
      <c r="AG16" s="66"/>
      <c r="AH16" s="66"/>
      <c r="AI16" s="66">
        <f t="shared" si="9"/>
        <v>0</v>
      </c>
      <c r="AJ16" s="65"/>
      <c r="AK16" s="65"/>
      <c r="AL16" s="65">
        <f t="shared" si="10"/>
        <v>0</v>
      </c>
      <c r="AM16" s="66"/>
      <c r="AN16" s="66"/>
      <c r="AO16" s="66">
        <f t="shared" si="15"/>
        <v>0</v>
      </c>
    </row>
    <row r="17" spans="1:41" s="58" customFormat="1" ht="17.25" customHeight="1" x14ac:dyDescent="0.2">
      <c r="A17" s="64" t="s">
        <v>85</v>
      </c>
      <c r="B17" s="13"/>
      <c r="C17" s="14">
        <f t="shared" si="13"/>
        <v>0</v>
      </c>
      <c r="D17" s="14">
        <v>32000</v>
      </c>
      <c r="E17" s="3"/>
      <c r="F17" s="132"/>
      <c r="G17" s="65"/>
      <c r="H17" s="65">
        <f t="shared" si="0"/>
        <v>0</v>
      </c>
      <c r="I17" s="132"/>
      <c r="J17" s="66"/>
      <c r="K17" s="66">
        <f t="shared" si="1"/>
        <v>0</v>
      </c>
      <c r="L17" s="132"/>
      <c r="M17" s="65"/>
      <c r="N17" s="65">
        <f t="shared" si="2"/>
        <v>0</v>
      </c>
      <c r="O17" s="132">
        <v>0</v>
      </c>
      <c r="P17" s="66"/>
      <c r="Q17" s="66">
        <f t="shared" si="3"/>
        <v>0</v>
      </c>
      <c r="R17" s="132"/>
      <c r="S17" s="65"/>
      <c r="T17" s="65">
        <f t="shared" si="4"/>
        <v>0</v>
      </c>
      <c r="U17" s="132"/>
      <c r="V17" s="66"/>
      <c r="W17" s="66">
        <f t="shared" si="5"/>
        <v>0</v>
      </c>
      <c r="X17" s="132"/>
      <c r="Y17" s="65"/>
      <c r="Z17" s="65">
        <f t="shared" si="6"/>
        <v>0</v>
      </c>
      <c r="AA17" s="132"/>
      <c r="AB17" s="66"/>
      <c r="AC17" s="66">
        <f t="shared" si="7"/>
        <v>0</v>
      </c>
      <c r="AD17" s="65"/>
      <c r="AE17" s="65"/>
      <c r="AF17" s="65">
        <f t="shared" si="8"/>
        <v>0</v>
      </c>
      <c r="AG17" s="66"/>
      <c r="AH17" s="66"/>
      <c r="AI17" s="66">
        <f t="shared" si="9"/>
        <v>0</v>
      </c>
      <c r="AJ17" s="65"/>
      <c r="AK17" s="65"/>
      <c r="AL17" s="65">
        <f t="shared" si="10"/>
        <v>0</v>
      </c>
      <c r="AM17" s="66"/>
      <c r="AN17" s="66"/>
      <c r="AO17" s="66">
        <f t="shared" si="15"/>
        <v>0</v>
      </c>
    </row>
    <row r="18" spans="1:41" s="58" customFormat="1" ht="17.25" customHeight="1" x14ac:dyDescent="0.2">
      <c r="A18" s="64" t="s">
        <v>56</v>
      </c>
      <c r="B18" s="13"/>
      <c r="C18" s="14">
        <f t="shared" si="13"/>
        <v>44250</v>
      </c>
      <c r="D18" s="14">
        <v>70000</v>
      </c>
      <c r="E18" s="3"/>
      <c r="F18" s="132">
        <v>44250</v>
      </c>
      <c r="G18" s="65"/>
      <c r="H18" s="65">
        <f t="shared" si="0"/>
        <v>44250</v>
      </c>
      <c r="I18" s="132"/>
      <c r="J18" s="66"/>
      <c r="K18" s="66">
        <f t="shared" si="1"/>
        <v>0</v>
      </c>
      <c r="L18" s="132"/>
      <c r="M18" s="65"/>
      <c r="N18" s="65">
        <f t="shared" si="2"/>
        <v>0</v>
      </c>
      <c r="O18" s="132"/>
      <c r="P18" s="66"/>
      <c r="Q18" s="66">
        <f t="shared" si="3"/>
        <v>0</v>
      </c>
      <c r="R18" s="132"/>
      <c r="S18" s="65"/>
      <c r="T18" s="65">
        <f t="shared" si="4"/>
        <v>0</v>
      </c>
      <c r="U18" s="132"/>
      <c r="V18" s="66"/>
      <c r="W18" s="66">
        <f t="shared" si="5"/>
        <v>0</v>
      </c>
      <c r="X18" s="132"/>
      <c r="Y18" s="65"/>
      <c r="Z18" s="65">
        <f t="shared" si="6"/>
        <v>0</v>
      </c>
      <c r="AA18" s="132"/>
      <c r="AB18" s="66"/>
      <c r="AC18" s="66">
        <f t="shared" si="7"/>
        <v>0</v>
      </c>
      <c r="AD18" s="65"/>
      <c r="AE18" s="65"/>
      <c r="AF18" s="65">
        <f t="shared" si="8"/>
        <v>0</v>
      </c>
      <c r="AG18" s="66"/>
      <c r="AH18" s="66"/>
      <c r="AI18" s="66">
        <f t="shared" si="9"/>
        <v>0</v>
      </c>
      <c r="AJ18" s="65"/>
      <c r="AK18" s="65"/>
      <c r="AL18" s="65">
        <f t="shared" si="10"/>
        <v>0</v>
      </c>
      <c r="AM18" s="66"/>
      <c r="AN18" s="66"/>
      <c r="AO18" s="66">
        <f t="shared" si="15"/>
        <v>0</v>
      </c>
    </row>
    <row r="19" spans="1:41" s="58" customFormat="1" ht="17.25" customHeight="1" x14ac:dyDescent="0.2">
      <c r="A19" s="12" t="s">
        <v>162</v>
      </c>
      <c r="B19" s="13"/>
      <c r="C19" s="14">
        <f t="shared" si="13"/>
        <v>70688</v>
      </c>
      <c r="D19" s="14">
        <v>70000</v>
      </c>
      <c r="E19" s="3"/>
      <c r="F19" s="132">
        <v>70688</v>
      </c>
      <c r="G19" s="65"/>
      <c r="H19" s="65">
        <f t="shared" si="0"/>
        <v>70688</v>
      </c>
      <c r="I19" s="132"/>
      <c r="J19" s="66"/>
      <c r="K19" s="66">
        <f t="shared" si="1"/>
        <v>0</v>
      </c>
      <c r="L19" s="132"/>
      <c r="M19" s="65"/>
      <c r="N19" s="65">
        <f t="shared" si="2"/>
        <v>0</v>
      </c>
      <c r="O19" s="132"/>
      <c r="P19" s="66"/>
      <c r="Q19" s="66">
        <f t="shared" si="3"/>
        <v>0</v>
      </c>
      <c r="R19" s="132"/>
      <c r="S19" s="65"/>
      <c r="T19" s="65">
        <f t="shared" si="4"/>
        <v>0</v>
      </c>
      <c r="U19" s="132"/>
      <c r="V19" s="66"/>
      <c r="W19" s="66">
        <f t="shared" si="5"/>
        <v>0</v>
      </c>
      <c r="X19" s="132"/>
      <c r="Y19" s="65"/>
      <c r="Z19" s="65">
        <f t="shared" si="6"/>
        <v>0</v>
      </c>
      <c r="AA19" s="132"/>
      <c r="AB19" s="66"/>
      <c r="AC19" s="66">
        <f t="shared" si="7"/>
        <v>0</v>
      </c>
      <c r="AD19" s="65"/>
      <c r="AE19" s="65"/>
      <c r="AF19" s="65">
        <f t="shared" si="8"/>
        <v>0</v>
      </c>
      <c r="AG19" s="66"/>
      <c r="AH19" s="66"/>
      <c r="AI19" s="66">
        <f t="shared" si="9"/>
        <v>0</v>
      </c>
      <c r="AJ19" s="65"/>
      <c r="AK19" s="65"/>
      <c r="AL19" s="65">
        <f t="shared" si="10"/>
        <v>0</v>
      </c>
      <c r="AM19" s="66"/>
      <c r="AN19" s="66"/>
      <c r="AO19" s="66">
        <f t="shared" si="15"/>
        <v>0</v>
      </c>
    </row>
    <row r="20" spans="1:41" s="58" customFormat="1" ht="17.25" customHeight="1" x14ac:dyDescent="0.2">
      <c r="A20" s="12" t="s">
        <v>124</v>
      </c>
      <c r="B20" s="13"/>
      <c r="C20" s="14">
        <f t="shared" si="13"/>
        <v>126362</v>
      </c>
      <c r="D20" s="14"/>
      <c r="E20" s="3"/>
      <c r="F20" s="132">
        <v>126362</v>
      </c>
      <c r="G20" s="65"/>
      <c r="H20" s="65">
        <f t="shared" si="0"/>
        <v>126362</v>
      </c>
      <c r="I20" s="132"/>
      <c r="J20" s="66"/>
      <c r="K20" s="66">
        <f t="shared" si="1"/>
        <v>0</v>
      </c>
      <c r="L20" s="132"/>
      <c r="M20" s="65"/>
      <c r="N20" s="65">
        <f t="shared" si="2"/>
        <v>0</v>
      </c>
      <c r="O20" s="132"/>
      <c r="P20" s="66"/>
      <c r="Q20" s="66">
        <f t="shared" si="3"/>
        <v>0</v>
      </c>
      <c r="R20" s="132"/>
      <c r="S20" s="65"/>
      <c r="T20" s="65">
        <f t="shared" si="4"/>
        <v>0</v>
      </c>
      <c r="U20" s="132"/>
      <c r="V20" s="66"/>
      <c r="W20" s="66">
        <f t="shared" si="5"/>
        <v>0</v>
      </c>
      <c r="X20" s="132"/>
      <c r="Y20" s="65"/>
      <c r="Z20" s="65">
        <f t="shared" si="6"/>
        <v>0</v>
      </c>
      <c r="AA20" s="132"/>
      <c r="AB20" s="66"/>
      <c r="AC20" s="66">
        <f t="shared" si="7"/>
        <v>0</v>
      </c>
      <c r="AD20" s="65"/>
      <c r="AE20" s="65"/>
      <c r="AF20" s="65">
        <f t="shared" si="8"/>
        <v>0</v>
      </c>
      <c r="AG20" s="66"/>
      <c r="AH20" s="66"/>
      <c r="AI20" s="66">
        <f t="shared" si="9"/>
        <v>0</v>
      </c>
      <c r="AJ20" s="65"/>
      <c r="AK20" s="65"/>
      <c r="AL20" s="65">
        <f t="shared" si="10"/>
        <v>0</v>
      </c>
      <c r="AM20" s="66"/>
      <c r="AN20" s="66"/>
      <c r="AO20" s="66">
        <f t="shared" si="15"/>
        <v>0</v>
      </c>
    </row>
    <row r="21" spans="1:41" s="58" customFormat="1" ht="17.25" customHeight="1" x14ac:dyDescent="0.2">
      <c r="A21" s="64" t="s">
        <v>55</v>
      </c>
      <c r="B21" s="13"/>
      <c r="C21" s="14">
        <f t="shared" si="13"/>
        <v>87181</v>
      </c>
      <c r="D21" s="14">
        <v>20000</v>
      </c>
      <c r="E21" s="3"/>
      <c r="F21" s="132">
        <v>15038</v>
      </c>
      <c r="G21" s="65"/>
      <c r="H21" s="65">
        <f t="shared" si="0"/>
        <v>15038</v>
      </c>
      <c r="I21" s="132">
        <f>85518-18000-2000</f>
        <v>65518</v>
      </c>
      <c r="J21" s="66"/>
      <c r="K21" s="66">
        <f t="shared" si="1"/>
        <v>65518</v>
      </c>
      <c r="L21" s="132"/>
      <c r="M21" s="65"/>
      <c r="N21" s="65">
        <f t="shared" si="2"/>
        <v>0</v>
      </c>
      <c r="O21" s="133"/>
      <c r="P21" s="66"/>
      <c r="Q21" s="66">
        <f t="shared" si="3"/>
        <v>0</v>
      </c>
      <c r="R21" s="132"/>
      <c r="S21" s="65"/>
      <c r="T21" s="65">
        <f t="shared" si="4"/>
        <v>0</v>
      </c>
      <c r="U21" s="132">
        <v>6625</v>
      </c>
      <c r="V21" s="66"/>
      <c r="W21" s="66">
        <f t="shared" si="5"/>
        <v>6625</v>
      </c>
      <c r="X21" s="132"/>
      <c r="Y21" s="65"/>
      <c r="Z21" s="65">
        <f t="shared" si="6"/>
        <v>0</v>
      </c>
      <c r="AA21" s="132"/>
      <c r="AB21" s="66"/>
      <c r="AC21" s="66">
        <f t="shared" si="7"/>
        <v>0</v>
      </c>
      <c r="AD21" s="65"/>
      <c r="AE21" s="65"/>
      <c r="AF21" s="65">
        <f t="shared" si="8"/>
        <v>0</v>
      </c>
      <c r="AG21" s="66"/>
      <c r="AH21" s="66"/>
      <c r="AI21" s="66">
        <f t="shared" si="9"/>
        <v>0</v>
      </c>
      <c r="AJ21" s="65"/>
      <c r="AK21" s="65"/>
      <c r="AL21" s="65">
        <f t="shared" si="10"/>
        <v>0</v>
      </c>
      <c r="AM21" s="66"/>
      <c r="AN21" s="66"/>
      <c r="AO21" s="66">
        <f t="shared" si="15"/>
        <v>0</v>
      </c>
    </row>
    <row r="22" spans="1:41" s="58" customFormat="1" ht="17.25" x14ac:dyDescent="0.3">
      <c r="A22" s="4" t="s">
        <v>5</v>
      </c>
      <c r="B22" s="16"/>
      <c r="C22" s="17">
        <f>SUM(C7:C21)</f>
        <v>3488522</v>
      </c>
      <c r="D22" s="17">
        <f>SUM(D7:D21)</f>
        <v>380000</v>
      </c>
      <c r="E22" s="3"/>
      <c r="F22" s="67">
        <f t="shared" ref="F22:AO22" si="16">SUM(F7:F21)</f>
        <v>1452077</v>
      </c>
      <c r="G22" s="67">
        <f t="shared" si="16"/>
        <v>-200000</v>
      </c>
      <c r="H22" s="67">
        <f t="shared" si="16"/>
        <v>1252077</v>
      </c>
      <c r="I22" s="67">
        <f t="shared" si="16"/>
        <v>529996</v>
      </c>
      <c r="J22" s="67">
        <f t="shared" si="16"/>
        <v>0</v>
      </c>
      <c r="K22" s="67">
        <f t="shared" si="16"/>
        <v>529996</v>
      </c>
      <c r="L22" s="67">
        <f t="shared" si="16"/>
        <v>0</v>
      </c>
      <c r="M22" s="67">
        <f t="shared" si="16"/>
        <v>0</v>
      </c>
      <c r="N22" s="67">
        <f t="shared" si="16"/>
        <v>0</v>
      </c>
      <c r="O22" s="67">
        <f t="shared" si="16"/>
        <v>858200</v>
      </c>
      <c r="P22" s="67">
        <f t="shared" si="16"/>
        <v>-403000</v>
      </c>
      <c r="Q22" s="67">
        <f t="shared" si="16"/>
        <v>455200</v>
      </c>
      <c r="R22" s="67">
        <f t="shared" si="16"/>
        <v>1151524</v>
      </c>
      <c r="S22" s="67">
        <f t="shared" si="16"/>
        <v>0</v>
      </c>
      <c r="T22" s="67">
        <f t="shared" si="16"/>
        <v>1151524</v>
      </c>
      <c r="U22" s="67">
        <f t="shared" si="16"/>
        <v>55625</v>
      </c>
      <c r="V22" s="67">
        <f t="shared" si="16"/>
        <v>0</v>
      </c>
      <c r="W22" s="67">
        <f t="shared" si="16"/>
        <v>55625</v>
      </c>
      <c r="X22" s="67">
        <f t="shared" si="16"/>
        <v>29100</v>
      </c>
      <c r="Y22" s="67">
        <f t="shared" si="16"/>
        <v>0</v>
      </c>
      <c r="Z22" s="67">
        <f t="shared" si="16"/>
        <v>29100</v>
      </c>
      <c r="AA22" s="67">
        <f t="shared" si="16"/>
        <v>15000</v>
      </c>
      <c r="AB22" s="67">
        <f t="shared" si="16"/>
        <v>0</v>
      </c>
      <c r="AC22" s="67">
        <f t="shared" si="16"/>
        <v>15000</v>
      </c>
      <c r="AD22" s="67">
        <f t="shared" si="16"/>
        <v>0</v>
      </c>
      <c r="AE22" s="67">
        <f t="shared" si="16"/>
        <v>0</v>
      </c>
      <c r="AF22" s="67">
        <f t="shared" si="16"/>
        <v>0</v>
      </c>
      <c r="AG22" s="67">
        <f t="shared" si="16"/>
        <v>0</v>
      </c>
      <c r="AH22" s="67">
        <f t="shared" si="16"/>
        <v>0</v>
      </c>
      <c r="AI22" s="67">
        <f t="shared" si="16"/>
        <v>0</v>
      </c>
      <c r="AJ22" s="67">
        <f t="shared" si="16"/>
        <v>0</v>
      </c>
      <c r="AK22" s="67">
        <f t="shared" si="16"/>
        <v>0</v>
      </c>
      <c r="AL22" s="67">
        <f t="shared" si="16"/>
        <v>0</v>
      </c>
      <c r="AM22" s="67">
        <f t="shared" si="16"/>
        <v>0</v>
      </c>
      <c r="AN22" s="67">
        <f t="shared" si="16"/>
        <v>0</v>
      </c>
      <c r="AO22" s="67">
        <f t="shared" si="16"/>
        <v>0</v>
      </c>
    </row>
    <row r="23" spans="1:41" s="58" customFormat="1" ht="21.95" customHeight="1" x14ac:dyDescent="0.3">
      <c r="A23" s="15"/>
      <c r="B23" s="16"/>
      <c r="C23" s="18"/>
      <c r="D23" s="18"/>
      <c r="E23" s="3"/>
      <c r="F23" s="65"/>
      <c r="G23" s="65"/>
      <c r="H23" s="65"/>
      <c r="I23" s="66"/>
      <c r="J23" s="66"/>
      <c r="K23" s="66"/>
      <c r="L23" s="65"/>
      <c r="M23" s="65"/>
      <c r="N23" s="65"/>
      <c r="O23" s="66"/>
      <c r="P23" s="66"/>
      <c r="Q23" s="66"/>
      <c r="R23" s="65"/>
      <c r="S23" s="65"/>
      <c r="T23" s="65"/>
      <c r="U23" s="66"/>
      <c r="V23" s="66"/>
      <c r="W23" s="66"/>
      <c r="X23" s="65"/>
      <c r="Y23" s="65"/>
      <c r="Z23" s="65"/>
      <c r="AA23" s="66"/>
      <c r="AB23" s="66"/>
      <c r="AC23" s="66"/>
      <c r="AD23" s="65"/>
      <c r="AE23" s="65"/>
      <c r="AF23" s="65"/>
      <c r="AG23" s="66"/>
      <c r="AH23" s="66"/>
      <c r="AI23" s="66"/>
      <c r="AJ23" s="65"/>
      <c r="AK23" s="65"/>
      <c r="AL23" s="65"/>
      <c r="AM23" s="66"/>
      <c r="AN23" s="66"/>
      <c r="AO23" s="66"/>
    </row>
    <row r="24" spans="1:41" s="58" customFormat="1" ht="17.25" x14ac:dyDescent="0.3">
      <c r="A24" s="4" t="s">
        <v>6</v>
      </c>
      <c r="B24" s="16"/>
      <c r="C24" s="19"/>
      <c r="D24" s="19"/>
      <c r="E24" s="3"/>
      <c r="F24" s="65"/>
      <c r="G24" s="65"/>
      <c r="H24" s="65"/>
      <c r="I24" s="66"/>
      <c r="J24" s="66"/>
      <c r="K24" s="66"/>
      <c r="L24" s="65"/>
      <c r="M24" s="65"/>
      <c r="N24" s="65"/>
      <c r="O24" s="66"/>
      <c r="P24" s="66"/>
      <c r="Q24" s="66"/>
      <c r="R24" s="65"/>
      <c r="S24" s="65"/>
      <c r="T24" s="65"/>
      <c r="U24" s="66"/>
      <c r="V24" s="66"/>
      <c r="W24" s="66"/>
      <c r="X24" s="65"/>
      <c r="Y24" s="65"/>
      <c r="Z24" s="65"/>
      <c r="AA24" s="66"/>
      <c r="AB24" s="66"/>
      <c r="AC24" s="66"/>
      <c r="AD24" s="65"/>
      <c r="AE24" s="65"/>
      <c r="AF24" s="65"/>
      <c r="AG24" s="66"/>
      <c r="AH24" s="66"/>
      <c r="AI24" s="66"/>
      <c r="AJ24" s="65"/>
      <c r="AK24" s="65"/>
      <c r="AL24" s="65"/>
      <c r="AM24" s="66"/>
      <c r="AN24" s="66"/>
      <c r="AO24" s="66"/>
    </row>
    <row r="25" spans="1:41" s="58" customFormat="1" ht="9.9499999999999993" customHeight="1" x14ac:dyDescent="0.3">
      <c r="A25" s="15"/>
      <c r="B25" s="16"/>
      <c r="C25" s="19"/>
      <c r="D25" s="19"/>
      <c r="E25" s="3"/>
      <c r="F25" s="65"/>
      <c r="G25" s="65"/>
      <c r="H25" s="65"/>
      <c r="I25" s="66"/>
      <c r="J25" s="66"/>
      <c r="K25" s="66"/>
      <c r="L25" s="65"/>
      <c r="M25" s="65"/>
      <c r="N25" s="65"/>
      <c r="O25" s="66"/>
      <c r="P25" s="66"/>
      <c r="Q25" s="66"/>
      <c r="R25" s="65"/>
      <c r="S25" s="65"/>
      <c r="T25" s="65"/>
      <c r="U25" s="66"/>
      <c r="V25" s="66"/>
      <c r="W25" s="66"/>
      <c r="X25" s="65"/>
      <c r="Y25" s="65"/>
      <c r="Z25" s="65"/>
      <c r="AA25" s="66"/>
      <c r="AB25" s="66"/>
      <c r="AC25" s="66"/>
      <c r="AD25" s="65"/>
      <c r="AE25" s="65"/>
      <c r="AF25" s="65"/>
      <c r="AG25" s="66"/>
      <c r="AH25" s="66"/>
      <c r="AI25" s="66"/>
      <c r="AJ25" s="65"/>
      <c r="AK25" s="65"/>
      <c r="AL25" s="65"/>
      <c r="AM25" s="66"/>
      <c r="AN25" s="66"/>
      <c r="AO25" s="66"/>
    </row>
    <row r="26" spans="1:41" s="58" customFormat="1" ht="16.5" customHeight="1" x14ac:dyDescent="0.3">
      <c r="A26" s="68" t="s">
        <v>89</v>
      </c>
      <c r="B26" s="16"/>
      <c r="C26" s="14">
        <f>H26+K26+N26+Q26+T26+W26+Z26+AC26+AF26+AI26+AL26+AO26</f>
        <v>262773</v>
      </c>
      <c r="D26" s="19"/>
      <c r="E26" s="3"/>
      <c r="F26" s="132">
        <v>0</v>
      </c>
      <c r="G26" s="65"/>
      <c r="H26" s="65">
        <f t="shared" si="0"/>
        <v>0</v>
      </c>
      <c r="I26" s="132">
        <v>56022</v>
      </c>
      <c r="J26" s="66"/>
      <c r="K26" s="66">
        <f t="shared" si="1"/>
        <v>56022</v>
      </c>
      <c r="L26" s="132"/>
      <c r="M26" s="65"/>
      <c r="N26" s="65">
        <f t="shared" si="2"/>
        <v>0</v>
      </c>
      <c r="O26" s="132">
        <v>34917</v>
      </c>
      <c r="P26" s="66"/>
      <c r="Q26" s="66">
        <f t="shared" si="3"/>
        <v>34917</v>
      </c>
      <c r="R26" s="132">
        <v>164282</v>
      </c>
      <c r="S26" s="65"/>
      <c r="T26" s="65">
        <f t="shared" si="4"/>
        <v>164282</v>
      </c>
      <c r="U26" s="132">
        <v>7552</v>
      </c>
      <c r="V26" s="66"/>
      <c r="W26" s="66">
        <f t="shared" si="5"/>
        <v>7552</v>
      </c>
      <c r="X26" s="132"/>
      <c r="Y26" s="65"/>
      <c r="Z26" s="65">
        <f t="shared" si="6"/>
        <v>0</v>
      </c>
      <c r="AA26" s="132"/>
      <c r="AB26" s="66"/>
      <c r="AC26" s="66">
        <f t="shared" si="7"/>
        <v>0</v>
      </c>
      <c r="AD26" s="65"/>
      <c r="AE26" s="65"/>
      <c r="AF26" s="65">
        <f t="shared" si="8"/>
        <v>0</v>
      </c>
      <c r="AG26" s="66"/>
      <c r="AH26" s="66"/>
      <c r="AI26" s="66">
        <f t="shared" si="9"/>
        <v>0</v>
      </c>
      <c r="AJ26" s="65"/>
      <c r="AK26" s="65"/>
      <c r="AL26" s="65">
        <f t="shared" si="10"/>
        <v>0</v>
      </c>
      <c r="AM26" s="66"/>
      <c r="AN26" s="66"/>
      <c r="AO26" s="66">
        <f t="shared" ref="AO26:AO30" si="17">AM26+AN26</f>
        <v>0</v>
      </c>
    </row>
    <row r="27" spans="1:41" s="58" customFormat="1" ht="16.5" customHeight="1" x14ac:dyDescent="0.3">
      <c r="A27" s="68" t="s">
        <v>60</v>
      </c>
      <c r="B27" s="16"/>
      <c r="C27" s="14">
        <f>H27+K27+N27+Q27+T27+W27+Z27+AC27+AF27+AI27+AL27+AO27</f>
        <v>706174</v>
      </c>
      <c r="D27" s="19">
        <v>35000</v>
      </c>
      <c r="E27" s="3"/>
      <c r="F27" s="132">
        <v>328216</v>
      </c>
      <c r="G27" s="65"/>
      <c r="H27" s="65">
        <f t="shared" si="0"/>
        <v>328216</v>
      </c>
      <c r="I27" s="132">
        <v>42335</v>
      </c>
      <c r="J27" s="66"/>
      <c r="K27" s="66">
        <f t="shared" si="1"/>
        <v>42335</v>
      </c>
      <c r="L27" s="132">
        <v>0</v>
      </c>
      <c r="M27" s="65"/>
      <c r="N27" s="65">
        <f t="shared" si="2"/>
        <v>0</v>
      </c>
      <c r="O27" s="132">
        <v>265523</v>
      </c>
      <c r="P27" s="66"/>
      <c r="Q27" s="66">
        <f t="shared" si="3"/>
        <v>265523</v>
      </c>
      <c r="R27" s="132">
        <v>58100</v>
      </c>
      <c r="S27" s="65"/>
      <c r="T27" s="65">
        <f t="shared" si="4"/>
        <v>58100</v>
      </c>
      <c r="U27" s="132"/>
      <c r="V27" s="66"/>
      <c r="W27" s="66">
        <f t="shared" si="5"/>
        <v>0</v>
      </c>
      <c r="X27" s="132">
        <v>8000</v>
      </c>
      <c r="Y27" s="65"/>
      <c r="Z27" s="65">
        <f t="shared" si="6"/>
        <v>8000</v>
      </c>
      <c r="AA27" s="132">
        <v>4000</v>
      </c>
      <c r="AB27" s="66"/>
      <c r="AC27" s="66">
        <f t="shared" si="7"/>
        <v>4000</v>
      </c>
      <c r="AD27" s="65"/>
      <c r="AE27" s="65"/>
      <c r="AF27" s="65">
        <f t="shared" si="8"/>
        <v>0</v>
      </c>
      <c r="AG27" s="66"/>
      <c r="AH27" s="66"/>
      <c r="AI27" s="66">
        <f t="shared" si="9"/>
        <v>0</v>
      </c>
      <c r="AJ27" s="65"/>
      <c r="AK27" s="65"/>
      <c r="AL27" s="65">
        <f t="shared" si="10"/>
        <v>0</v>
      </c>
      <c r="AM27" s="66"/>
      <c r="AN27" s="66"/>
      <c r="AO27" s="66">
        <f t="shared" si="17"/>
        <v>0</v>
      </c>
    </row>
    <row r="28" spans="1:41" s="58" customFormat="1" ht="16.5" customHeight="1" x14ac:dyDescent="0.3">
      <c r="A28" s="68" t="s">
        <v>62</v>
      </c>
      <c r="B28" s="16"/>
      <c r="C28" s="14">
        <f>H28+K28+N28+Q28+T28+W28+Z28+AC28+AF28+AI28+AL28+AO28</f>
        <v>293150</v>
      </c>
      <c r="D28" s="19">
        <v>0</v>
      </c>
      <c r="E28" s="3"/>
      <c r="F28" s="132">
        <v>293150</v>
      </c>
      <c r="G28" s="65"/>
      <c r="H28" s="65">
        <f t="shared" si="0"/>
        <v>293150</v>
      </c>
      <c r="I28" s="132"/>
      <c r="J28" s="66"/>
      <c r="K28" s="66">
        <f t="shared" si="1"/>
        <v>0</v>
      </c>
      <c r="L28" s="132"/>
      <c r="M28" s="65"/>
      <c r="N28" s="65">
        <f t="shared" si="2"/>
        <v>0</v>
      </c>
      <c r="O28" s="132">
        <v>0</v>
      </c>
      <c r="P28" s="66"/>
      <c r="Q28" s="66">
        <f t="shared" si="3"/>
        <v>0</v>
      </c>
      <c r="R28" s="132"/>
      <c r="S28" s="65"/>
      <c r="T28" s="65">
        <f t="shared" si="4"/>
        <v>0</v>
      </c>
      <c r="U28" s="132"/>
      <c r="V28" s="66"/>
      <c r="W28" s="66">
        <f t="shared" si="5"/>
        <v>0</v>
      </c>
      <c r="X28" s="132"/>
      <c r="Y28" s="65"/>
      <c r="Z28" s="65">
        <f t="shared" si="6"/>
        <v>0</v>
      </c>
      <c r="AA28" s="132"/>
      <c r="AB28" s="66"/>
      <c r="AC28" s="66">
        <f t="shared" si="7"/>
        <v>0</v>
      </c>
      <c r="AD28" s="65"/>
      <c r="AE28" s="65"/>
      <c r="AF28" s="65">
        <f t="shared" si="8"/>
        <v>0</v>
      </c>
      <c r="AG28" s="66"/>
      <c r="AH28" s="66"/>
      <c r="AI28" s="66">
        <f t="shared" si="9"/>
        <v>0</v>
      </c>
      <c r="AJ28" s="65"/>
      <c r="AK28" s="65"/>
      <c r="AL28" s="65">
        <f t="shared" si="10"/>
        <v>0</v>
      </c>
      <c r="AM28" s="66"/>
      <c r="AN28" s="66"/>
      <c r="AO28" s="66">
        <f t="shared" si="17"/>
        <v>0</v>
      </c>
    </row>
    <row r="29" spans="1:41" s="58" customFormat="1" ht="16.5" customHeight="1" x14ac:dyDescent="0.3">
      <c r="A29" s="68" t="s">
        <v>61</v>
      </c>
      <c r="B29" s="16"/>
      <c r="C29" s="14">
        <f>H29+K29+N29+Q29+T29+W29+Z29+AC29+AF29+AI29+AL29+AO29</f>
        <v>169072</v>
      </c>
      <c r="D29" s="19">
        <v>45000</v>
      </c>
      <c r="E29" s="3"/>
      <c r="F29" s="132">
        <v>169072</v>
      </c>
      <c r="G29" s="65"/>
      <c r="H29" s="65">
        <f t="shared" si="0"/>
        <v>169072</v>
      </c>
      <c r="I29" s="132"/>
      <c r="J29" s="66"/>
      <c r="K29" s="66">
        <f t="shared" si="1"/>
        <v>0</v>
      </c>
      <c r="L29" s="132"/>
      <c r="M29" s="65"/>
      <c r="N29" s="65">
        <f t="shared" si="2"/>
        <v>0</v>
      </c>
      <c r="O29" s="132"/>
      <c r="P29" s="66"/>
      <c r="Q29" s="66">
        <f t="shared" si="3"/>
        <v>0</v>
      </c>
      <c r="R29" s="132"/>
      <c r="S29" s="65"/>
      <c r="T29" s="65">
        <f t="shared" si="4"/>
        <v>0</v>
      </c>
      <c r="U29" s="132"/>
      <c r="V29" s="66"/>
      <c r="W29" s="66">
        <f t="shared" si="5"/>
        <v>0</v>
      </c>
      <c r="X29" s="132"/>
      <c r="Y29" s="65"/>
      <c r="Z29" s="65">
        <f t="shared" si="6"/>
        <v>0</v>
      </c>
      <c r="AA29" s="132"/>
      <c r="AB29" s="66"/>
      <c r="AC29" s="66">
        <f t="shared" si="7"/>
        <v>0</v>
      </c>
      <c r="AD29" s="65"/>
      <c r="AE29" s="65"/>
      <c r="AF29" s="65">
        <f t="shared" si="8"/>
        <v>0</v>
      </c>
      <c r="AG29" s="66"/>
      <c r="AH29" s="66"/>
      <c r="AI29" s="66">
        <f t="shared" si="9"/>
        <v>0</v>
      </c>
      <c r="AJ29" s="65"/>
      <c r="AK29" s="65"/>
      <c r="AL29" s="65">
        <f t="shared" si="10"/>
        <v>0</v>
      </c>
      <c r="AM29" s="66"/>
      <c r="AN29" s="66"/>
      <c r="AO29" s="66">
        <f t="shared" si="17"/>
        <v>0</v>
      </c>
    </row>
    <row r="30" spans="1:41" s="58" customFormat="1" ht="17.25" x14ac:dyDescent="0.3">
      <c r="A30" s="68" t="s">
        <v>63</v>
      </c>
      <c r="B30" s="16"/>
      <c r="C30" s="14">
        <f>H30+K30+N30+Q30+T30+W30+Z30+AC30+AF30+AI30+AL30+AO30</f>
        <v>1686666</v>
      </c>
      <c r="D30" s="19">
        <v>20000</v>
      </c>
      <c r="E30" s="3"/>
      <c r="F30" s="132">
        <v>432182</v>
      </c>
      <c r="G30" s="65"/>
      <c r="H30" s="65">
        <f t="shared" si="0"/>
        <v>432182</v>
      </c>
      <c r="I30" s="132">
        <v>429225</v>
      </c>
      <c r="J30" s="66"/>
      <c r="K30" s="66">
        <f t="shared" si="1"/>
        <v>429225</v>
      </c>
      <c r="L30" s="132"/>
      <c r="M30" s="65"/>
      <c r="N30" s="65">
        <f t="shared" si="2"/>
        <v>0</v>
      </c>
      <c r="O30" s="132">
        <f>515478+100000</f>
        <v>615478</v>
      </c>
      <c r="P30" s="120">
        <v>-100000</v>
      </c>
      <c r="Q30" s="66">
        <f t="shared" si="3"/>
        <v>515478</v>
      </c>
      <c r="R30" s="132">
        <v>254379</v>
      </c>
      <c r="S30" s="65"/>
      <c r="T30" s="65">
        <f t="shared" si="4"/>
        <v>254379</v>
      </c>
      <c r="U30" s="132">
        <v>26897</v>
      </c>
      <c r="V30" s="66"/>
      <c r="W30" s="66">
        <f t="shared" si="5"/>
        <v>26897</v>
      </c>
      <c r="X30" s="132">
        <v>8388</v>
      </c>
      <c r="Y30" s="65"/>
      <c r="Z30" s="65">
        <f t="shared" si="6"/>
        <v>8388</v>
      </c>
      <c r="AA30" s="132">
        <v>20117</v>
      </c>
      <c r="AB30" s="66"/>
      <c r="AC30" s="66">
        <f t="shared" si="7"/>
        <v>20117</v>
      </c>
      <c r="AD30" s="65"/>
      <c r="AE30" s="65"/>
      <c r="AF30" s="65">
        <f t="shared" si="8"/>
        <v>0</v>
      </c>
      <c r="AG30" s="66"/>
      <c r="AH30" s="66"/>
      <c r="AI30" s="66">
        <f t="shared" si="9"/>
        <v>0</v>
      </c>
      <c r="AJ30" s="65"/>
      <c r="AK30" s="65"/>
      <c r="AL30" s="65">
        <f t="shared" si="10"/>
        <v>0</v>
      </c>
      <c r="AM30" s="66"/>
      <c r="AN30" s="66"/>
      <c r="AO30" s="66">
        <f t="shared" si="17"/>
        <v>0</v>
      </c>
    </row>
    <row r="31" spans="1:41" s="58" customFormat="1" ht="17.25" x14ac:dyDescent="0.3">
      <c r="A31" s="4" t="s">
        <v>7</v>
      </c>
      <c r="B31" s="16"/>
      <c r="C31" s="17">
        <f>SUM(C26:C30)</f>
        <v>3117835</v>
      </c>
      <c r="D31" s="17">
        <f>SUM(D27:D30)</f>
        <v>100000</v>
      </c>
      <c r="E31" s="3"/>
      <c r="F31" s="17">
        <f t="shared" ref="F31:AO31" si="18">SUM(F26:F30)</f>
        <v>1222620</v>
      </c>
      <c r="G31" s="17">
        <f t="shared" si="18"/>
        <v>0</v>
      </c>
      <c r="H31" s="17">
        <f t="shared" si="18"/>
        <v>1222620</v>
      </c>
      <c r="I31" s="17">
        <f t="shared" si="18"/>
        <v>527582</v>
      </c>
      <c r="J31" s="17">
        <f t="shared" si="18"/>
        <v>0</v>
      </c>
      <c r="K31" s="17">
        <f t="shared" si="18"/>
        <v>527582</v>
      </c>
      <c r="L31" s="17">
        <f t="shared" si="18"/>
        <v>0</v>
      </c>
      <c r="M31" s="17">
        <f t="shared" si="18"/>
        <v>0</v>
      </c>
      <c r="N31" s="17">
        <f t="shared" si="18"/>
        <v>0</v>
      </c>
      <c r="O31" s="17">
        <f t="shared" si="18"/>
        <v>915918</v>
      </c>
      <c r="P31" s="17">
        <f t="shared" si="18"/>
        <v>-100000</v>
      </c>
      <c r="Q31" s="17">
        <f t="shared" si="18"/>
        <v>815918</v>
      </c>
      <c r="R31" s="17">
        <f t="shared" si="18"/>
        <v>476761</v>
      </c>
      <c r="S31" s="17">
        <f t="shared" si="18"/>
        <v>0</v>
      </c>
      <c r="T31" s="17">
        <f t="shared" si="18"/>
        <v>476761</v>
      </c>
      <c r="U31" s="17">
        <f t="shared" si="18"/>
        <v>34449</v>
      </c>
      <c r="V31" s="17">
        <f t="shared" si="18"/>
        <v>0</v>
      </c>
      <c r="W31" s="17">
        <f t="shared" si="18"/>
        <v>34449</v>
      </c>
      <c r="X31" s="17">
        <f t="shared" si="18"/>
        <v>16388</v>
      </c>
      <c r="Y31" s="17">
        <f t="shared" si="18"/>
        <v>0</v>
      </c>
      <c r="Z31" s="17">
        <f t="shared" si="18"/>
        <v>16388</v>
      </c>
      <c r="AA31" s="17">
        <f t="shared" si="18"/>
        <v>24117</v>
      </c>
      <c r="AB31" s="17">
        <f t="shared" si="18"/>
        <v>0</v>
      </c>
      <c r="AC31" s="17">
        <f t="shared" si="18"/>
        <v>24117</v>
      </c>
      <c r="AD31" s="17">
        <f t="shared" si="18"/>
        <v>0</v>
      </c>
      <c r="AE31" s="17">
        <f t="shared" si="18"/>
        <v>0</v>
      </c>
      <c r="AF31" s="17">
        <f t="shared" si="18"/>
        <v>0</v>
      </c>
      <c r="AG31" s="17">
        <f t="shared" si="18"/>
        <v>0</v>
      </c>
      <c r="AH31" s="17">
        <f t="shared" si="18"/>
        <v>0</v>
      </c>
      <c r="AI31" s="17">
        <f t="shared" si="18"/>
        <v>0</v>
      </c>
      <c r="AJ31" s="17">
        <f t="shared" si="18"/>
        <v>0</v>
      </c>
      <c r="AK31" s="17">
        <f t="shared" si="18"/>
        <v>0</v>
      </c>
      <c r="AL31" s="17">
        <f t="shared" si="18"/>
        <v>0</v>
      </c>
      <c r="AM31" s="17">
        <f t="shared" si="18"/>
        <v>0</v>
      </c>
      <c r="AN31" s="17">
        <f t="shared" si="18"/>
        <v>0</v>
      </c>
      <c r="AO31" s="17">
        <f t="shared" si="18"/>
        <v>0</v>
      </c>
    </row>
    <row r="32" spans="1:41" s="58" customFormat="1" ht="17.25" x14ac:dyDescent="0.3">
      <c r="A32" s="15"/>
      <c r="B32" s="16"/>
      <c r="C32" s="20"/>
      <c r="D32" s="20"/>
      <c r="E32" s="3"/>
      <c r="F32" s="65"/>
      <c r="G32" s="65"/>
      <c r="H32" s="65">
        <f t="shared" si="0"/>
        <v>0</v>
      </c>
      <c r="I32" s="66"/>
      <c r="J32" s="66"/>
      <c r="K32" s="66">
        <f t="shared" si="1"/>
        <v>0</v>
      </c>
      <c r="L32" s="65"/>
      <c r="M32" s="65"/>
      <c r="N32" s="65">
        <f t="shared" si="2"/>
        <v>0</v>
      </c>
      <c r="O32" s="66"/>
      <c r="P32" s="66"/>
      <c r="Q32" s="66">
        <f t="shared" si="3"/>
        <v>0</v>
      </c>
      <c r="R32" s="65"/>
      <c r="S32" s="65"/>
      <c r="T32" s="65">
        <f t="shared" si="4"/>
        <v>0</v>
      </c>
      <c r="U32" s="66"/>
      <c r="V32" s="66"/>
      <c r="W32" s="66">
        <f t="shared" si="5"/>
        <v>0</v>
      </c>
      <c r="X32" s="65"/>
      <c r="Y32" s="65"/>
      <c r="Z32" s="65">
        <f t="shared" si="6"/>
        <v>0</v>
      </c>
      <c r="AA32" s="66"/>
      <c r="AB32" s="66"/>
      <c r="AC32" s="66">
        <f t="shared" si="7"/>
        <v>0</v>
      </c>
      <c r="AD32" s="65"/>
      <c r="AE32" s="65"/>
      <c r="AF32" s="65">
        <f t="shared" si="8"/>
        <v>0</v>
      </c>
      <c r="AG32" s="66"/>
      <c r="AH32" s="66"/>
      <c r="AI32" s="66">
        <f t="shared" si="9"/>
        <v>0</v>
      </c>
      <c r="AJ32" s="65"/>
      <c r="AK32" s="65"/>
      <c r="AL32" s="65">
        <f t="shared" si="10"/>
        <v>0</v>
      </c>
      <c r="AM32" s="66"/>
      <c r="AN32" s="66"/>
      <c r="AO32" s="66">
        <f t="shared" ref="AO32" si="19">AM32+AN32</f>
        <v>0</v>
      </c>
    </row>
    <row r="33" spans="1:41" s="58" customFormat="1" ht="17.25" x14ac:dyDescent="0.3">
      <c r="A33" s="4" t="s">
        <v>8</v>
      </c>
      <c r="B33" s="16"/>
      <c r="C33" s="21">
        <f>C22-C31</f>
        <v>370687</v>
      </c>
      <c r="D33" s="21">
        <f>D22-D31</f>
        <v>280000</v>
      </c>
      <c r="E33" s="3"/>
      <c r="F33" s="21">
        <f t="shared" ref="F33:AO33" si="20">F22-F31</f>
        <v>229457</v>
      </c>
      <c r="G33" s="21">
        <f t="shared" si="20"/>
        <v>-200000</v>
      </c>
      <c r="H33" s="21">
        <f t="shared" si="20"/>
        <v>29457</v>
      </c>
      <c r="I33" s="21">
        <f t="shared" si="20"/>
        <v>2414</v>
      </c>
      <c r="J33" s="21">
        <f t="shared" si="20"/>
        <v>0</v>
      </c>
      <c r="K33" s="21">
        <f t="shared" si="20"/>
        <v>2414</v>
      </c>
      <c r="L33" s="21">
        <f t="shared" si="20"/>
        <v>0</v>
      </c>
      <c r="M33" s="21">
        <f t="shared" si="20"/>
        <v>0</v>
      </c>
      <c r="N33" s="21">
        <f t="shared" si="20"/>
        <v>0</v>
      </c>
      <c r="O33" s="21">
        <f t="shared" si="20"/>
        <v>-57718</v>
      </c>
      <c r="P33" s="21">
        <f t="shared" si="20"/>
        <v>-303000</v>
      </c>
      <c r="Q33" s="21">
        <f t="shared" si="20"/>
        <v>-360718</v>
      </c>
      <c r="R33" s="21">
        <f t="shared" si="20"/>
        <v>674763</v>
      </c>
      <c r="S33" s="21">
        <f t="shared" si="20"/>
        <v>0</v>
      </c>
      <c r="T33" s="21">
        <f t="shared" si="20"/>
        <v>674763</v>
      </c>
      <c r="U33" s="21">
        <f t="shared" si="20"/>
        <v>21176</v>
      </c>
      <c r="V33" s="21">
        <f t="shared" si="20"/>
        <v>0</v>
      </c>
      <c r="W33" s="21">
        <f t="shared" si="20"/>
        <v>21176</v>
      </c>
      <c r="X33" s="21">
        <f t="shared" si="20"/>
        <v>12712</v>
      </c>
      <c r="Y33" s="21">
        <f t="shared" si="20"/>
        <v>0</v>
      </c>
      <c r="Z33" s="21">
        <f t="shared" si="20"/>
        <v>12712</v>
      </c>
      <c r="AA33" s="21">
        <f t="shared" si="20"/>
        <v>-9117</v>
      </c>
      <c r="AB33" s="21">
        <f t="shared" si="20"/>
        <v>0</v>
      </c>
      <c r="AC33" s="21">
        <f t="shared" si="20"/>
        <v>-9117</v>
      </c>
      <c r="AD33" s="21">
        <f t="shared" si="20"/>
        <v>0</v>
      </c>
      <c r="AE33" s="21">
        <f t="shared" si="20"/>
        <v>0</v>
      </c>
      <c r="AF33" s="21">
        <f t="shared" si="20"/>
        <v>0</v>
      </c>
      <c r="AG33" s="21">
        <f t="shared" si="20"/>
        <v>0</v>
      </c>
      <c r="AH33" s="21">
        <f t="shared" si="20"/>
        <v>0</v>
      </c>
      <c r="AI33" s="21">
        <f t="shared" si="20"/>
        <v>0</v>
      </c>
      <c r="AJ33" s="21">
        <f t="shared" si="20"/>
        <v>0</v>
      </c>
      <c r="AK33" s="21">
        <f t="shared" si="20"/>
        <v>0</v>
      </c>
      <c r="AL33" s="21">
        <f t="shared" si="20"/>
        <v>0</v>
      </c>
      <c r="AM33" s="21">
        <f t="shared" si="20"/>
        <v>0</v>
      </c>
      <c r="AN33" s="21">
        <f t="shared" si="20"/>
        <v>0</v>
      </c>
      <c r="AO33" s="21">
        <f t="shared" si="20"/>
        <v>0</v>
      </c>
    </row>
    <row r="34" spans="1:41" s="58" customFormat="1" ht="23.1" customHeight="1" x14ac:dyDescent="0.3">
      <c r="A34" s="22"/>
      <c r="B34" s="16"/>
      <c r="C34" s="18"/>
      <c r="D34" s="18"/>
      <c r="E34" s="3"/>
      <c r="F34" s="65"/>
      <c r="G34" s="65"/>
      <c r="H34" s="65"/>
      <c r="I34" s="66"/>
      <c r="J34" s="66"/>
      <c r="K34" s="66"/>
      <c r="L34" s="65"/>
      <c r="M34" s="65"/>
      <c r="N34" s="65"/>
      <c r="O34" s="66"/>
      <c r="P34" s="66"/>
      <c r="Q34" s="66"/>
      <c r="R34" s="65"/>
      <c r="S34" s="65"/>
      <c r="T34" s="65"/>
      <c r="U34" s="66"/>
      <c r="V34" s="66"/>
      <c r="W34" s="66"/>
      <c r="X34" s="65"/>
      <c r="Y34" s="65"/>
      <c r="Z34" s="65"/>
      <c r="AA34" s="66"/>
      <c r="AB34" s="66"/>
      <c r="AC34" s="66"/>
      <c r="AD34" s="65"/>
      <c r="AE34" s="65"/>
      <c r="AF34" s="65"/>
      <c r="AG34" s="66"/>
      <c r="AH34" s="66"/>
      <c r="AI34" s="66"/>
      <c r="AJ34" s="65"/>
      <c r="AK34" s="65"/>
      <c r="AL34" s="65"/>
      <c r="AM34" s="66"/>
      <c r="AN34" s="66"/>
      <c r="AO34" s="66"/>
    </row>
    <row r="35" spans="1:41" s="58" customFormat="1" ht="17.25" x14ac:dyDescent="0.3">
      <c r="A35" s="4" t="s">
        <v>9</v>
      </c>
      <c r="B35" s="16"/>
      <c r="C35" s="19"/>
      <c r="D35" s="19"/>
      <c r="E35" s="3"/>
      <c r="F35" s="65"/>
      <c r="G35" s="65"/>
      <c r="H35" s="65"/>
      <c r="I35" s="66"/>
      <c r="J35" s="66"/>
      <c r="K35" s="66"/>
      <c r="L35" s="65"/>
      <c r="M35" s="65"/>
      <c r="N35" s="65"/>
      <c r="O35" s="66"/>
      <c r="P35" s="66"/>
      <c r="Q35" s="66"/>
      <c r="R35" s="65"/>
      <c r="S35" s="65"/>
      <c r="T35" s="65"/>
      <c r="U35" s="66"/>
      <c r="V35" s="66"/>
      <c r="W35" s="66"/>
      <c r="X35" s="65"/>
      <c r="Y35" s="65"/>
      <c r="Z35" s="65"/>
      <c r="AA35" s="66"/>
      <c r="AB35" s="66"/>
      <c r="AC35" s="66"/>
      <c r="AD35" s="65"/>
      <c r="AE35" s="65"/>
      <c r="AF35" s="65"/>
      <c r="AG35" s="66"/>
      <c r="AH35" s="66"/>
      <c r="AI35" s="66"/>
      <c r="AJ35" s="65"/>
      <c r="AK35" s="65"/>
      <c r="AL35" s="65"/>
      <c r="AM35" s="66"/>
      <c r="AN35" s="66"/>
      <c r="AO35" s="66"/>
    </row>
    <row r="36" spans="1:41" s="58" customFormat="1" ht="9.9499999999999993" customHeight="1" x14ac:dyDescent="0.3">
      <c r="A36" s="4"/>
      <c r="B36" s="16"/>
      <c r="C36" s="19"/>
      <c r="D36" s="19"/>
      <c r="E36" s="3"/>
      <c r="F36" s="65"/>
      <c r="G36" s="65"/>
      <c r="H36" s="65"/>
      <c r="I36" s="66"/>
      <c r="J36" s="66"/>
      <c r="K36" s="66"/>
      <c r="L36" s="65"/>
      <c r="M36" s="65"/>
      <c r="N36" s="65"/>
      <c r="O36" s="66"/>
      <c r="P36" s="66"/>
      <c r="Q36" s="66"/>
      <c r="R36" s="65"/>
      <c r="S36" s="65"/>
      <c r="T36" s="65"/>
      <c r="U36" s="66"/>
      <c r="V36" s="66"/>
      <c r="W36" s="66"/>
      <c r="X36" s="65"/>
      <c r="Y36" s="65"/>
      <c r="Z36" s="65"/>
      <c r="AA36" s="66"/>
      <c r="AB36" s="66"/>
      <c r="AC36" s="66"/>
      <c r="AD36" s="65"/>
      <c r="AE36" s="65"/>
      <c r="AF36" s="65"/>
      <c r="AG36" s="66"/>
      <c r="AH36" s="66"/>
      <c r="AI36" s="66"/>
      <c r="AJ36" s="65"/>
      <c r="AK36" s="65"/>
      <c r="AL36" s="65"/>
      <c r="AM36" s="66"/>
      <c r="AN36" s="66"/>
      <c r="AO36" s="66"/>
    </row>
    <row r="37" spans="1:41" s="58" customFormat="1" ht="17.25" x14ac:dyDescent="0.3">
      <c r="A37" s="15" t="s">
        <v>10</v>
      </c>
      <c r="B37" s="16"/>
      <c r="C37" s="14">
        <f>H37+K37+N37+Q37+T37+W37+Z37+AC37+AF37+AI37+AL37+AO37</f>
        <v>5078</v>
      </c>
      <c r="D37" s="19">
        <v>0</v>
      </c>
      <c r="E37" s="3"/>
      <c r="F37" s="132">
        <v>2707</v>
      </c>
      <c r="G37" s="65"/>
      <c r="H37" s="65">
        <f t="shared" si="0"/>
        <v>2707</v>
      </c>
      <c r="I37" s="132">
        <v>226</v>
      </c>
      <c r="J37" s="66"/>
      <c r="K37" s="66">
        <f t="shared" si="1"/>
        <v>226</v>
      </c>
      <c r="L37" s="132">
        <v>0</v>
      </c>
      <c r="M37" s="65"/>
      <c r="N37" s="65">
        <f t="shared" si="2"/>
        <v>0</v>
      </c>
      <c r="O37" s="132">
        <v>412</v>
      </c>
      <c r="P37" s="66"/>
      <c r="Q37" s="66">
        <f t="shared" si="3"/>
        <v>412</v>
      </c>
      <c r="R37" s="132">
        <v>1660</v>
      </c>
      <c r="S37" s="65"/>
      <c r="T37" s="65">
        <f t="shared" si="4"/>
        <v>1660</v>
      </c>
      <c r="U37" s="132">
        <v>20</v>
      </c>
      <c r="V37" s="66"/>
      <c r="W37" s="66">
        <f t="shared" si="5"/>
        <v>20</v>
      </c>
      <c r="X37" s="132">
        <v>35</v>
      </c>
      <c r="Y37" s="65"/>
      <c r="Z37" s="65">
        <f t="shared" si="6"/>
        <v>35</v>
      </c>
      <c r="AA37" s="132">
        <v>18</v>
      </c>
      <c r="AB37" s="66"/>
      <c r="AC37" s="66">
        <f t="shared" si="7"/>
        <v>18</v>
      </c>
      <c r="AD37" s="65"/>
      <c r="AE37" s="65"/>
      <c r="AF37" s="65">
        <f t="shared" si="8"/>
        <v>0</v>
      </c>
      <c r="AG37" s="66"/>
      <c r="AH37" s="66"/>
      <c r="AI37" s="66">
        <f t="shared" si="9"/>
        <v>0</v>
      </c>
      <c r="AJ37" s="65"/>
      <c r="AK37" s="65"/>
      <c r="AL37" s="65">
        <f t="shared" si="10"/>
        <v>0</v>
      </c>
      <c r="AM37" s="66"/>
      <c r="AN37" s="66"/>
      <c r="AO37" s="66">
        <f t="shared" ref="AO37:AO39" si="21">AM37+AN37</f>
        <v>0</v>
      </c>
    </row>
    <row r="38" spans="1:41" s="58" customFormat="1" ht="17.25" x14ac:dyDescent="0.3">
      <c r="A38" s="68" t="s">
        <v>64</v>
      </c>
      <c r="B38" s="16"/>
      <c r="C38" s="14">
        <f>H38+K38+N38+Q38+T38+W38+Z38+AC38+AF38+AI38+AL38+AO38</f>
        <v>133374</v>
      </c>
      <c r="D38" s="19"/>
      <c r="E38" s="3"/>
      <c r="F38" s="132">
        <v>133211</v>
      </c>
      <c r="G38" s="65"/>
      <c r="H38" s="65">
        <f t="shared" si="0"/>
        <v>133211</v>
      </c>
      <c r="I38" s="132"/>
      <c r="J38" s="66"/>
      <c r="K38" s="66">
        <f t="shared" si="1"/>
        <v>0</v>
      </c>
      <c r="L38" s="132"/>
      <c r="M38" s="65"/>
      <c r="N38" s="65">
        <f t="shared" si="2"/>
        <v>0</v>
      </c>
      <c r="O38" s="132">
        <v>0</v>
      </c>
      <c r="P38" s="66"/>
      <c r="Q38" s="66">
        <f t="shared" si="3"/>
        <v>0</v>
      </c>
      <c r="R38" s="132">
        <v>163</v>
      </c>
      <c r="S38" s="65"/>
      <c r="T38" s="65">
        <f t="shared" si="4"/>
        <v>163</v>
      </c>
      <c r="U38" s="132"/>
      <c r="V38" s="66"/>
      <c r="W38" s="66">
        <f t="shared" si="5"/>
        <v>0</v>
      </c>
      <c r="X38" s="132"/>
      <c r="Y38" s="65"/>
      <c r="Z38" s="65">
        <f t="shared" si="6"/>
        <v>0</v>
      </c>
      <c r="AA38" s="132"/>
      <c r="AB38" s="66"/>
      <c r="AC38" s="66">
        <f t="shared" si="7"/>
        <v>0</v>
      </c>
      <c r="AD38" s="65"/>
      <c r="AE38" s="65"/>
      <c r="AF38" s="65">
        <f t="shared" si="8"/>
        <v>0</v>
      </c>
      <c r="AG38" s="66"/>
      <c r="AH38" s="66"/>
      <c r="AI38" s="66">
        <f t="shared" si="9"/>
        <v>0</v>
      </c>
      <c r="AJ38" s="65"/>
      <c r="AK38" s="65"/>
      <c r="AL38" s="65">
        <f t="shared" si="10"/>
        <v>0</v>
      </c>
      <c r="AM38" s="66"/>
      <c r="AN38" s="66"/>
      <c r="AO38" s="66">
        <f t="shared" si="21"/>
        <v>0</v>
      </c>
    </row>
    <row r="39" spans="1:41" s="58" customFormat="1" ht="17.25" x14ac:dyDescent="0.3">
      <c r="A39" s="68" t="s">
        <v>65</v>
      </c>
      <c r="B39" s="16"/>
      <c r="C39" s="14">
        <f>H39+K39+N39+Q39+T39+W39+Z39+AC39+AF39+AI39+AL39+AO39</f>
        <v>0</v>
      </c>
      <c r="D39" s="19"/>
      <c r="E39" s="3"/>
      <c r="F39" s="132"/>
      <c r="G39" s="65"/>
      <c r="H39" s="65">
        <f t="shared" si="0"/>
        <v>0</v>
      </c>
      <c r="I39" s="132"/>
      <c r="J39" s="66"/>
      <c r="K39" s="66">
        <f t="shared" si="1"/>
        <v>0</v>
      </c>
      <c r="L39" s="132"/>
      <c r="M39" s="65"/>
      <c r="N39" s="65">
        <f t="shared" si="2"/>
        <v>0</v>
      </c>
      <c r="O39" s="132"/>
      <c r="P39" s="66"/>
      <c r="Q39" s="66">
        <f t="shared" si="3"/>
        <v>0</v>
      </c>
      <c r="R39" s="132"/>
      <c r="S39" s="65"/>
      <c r="T39" s="65">
        <f t="shared" si="4"/>
        <v>0</v>
      </c>
      <c r="U39" s="132"/>
      <c r="V39" s="66"/>
      <c r="W39" s="66">
        <f t="shared" si="5"/>
        <v>0</v>
      </c>
      <c r="X39" s="132"/>
      <c r="Y39" s="65"/>
      <c r="Z39" s="65">
        <f t="shared" si="6"/>
        <v>0</v>
      </c>
      <c r="AA39" s="132"/>
      <c r="AB39" s="66"/>
      <c r="AC39" s="66">
        <f t="shared" si="7"/>
        <v>0</v>
      </c>
      <c r="AD39" s="65"/>
      <c r="AE39" s="65"/>
      <c r="AF39" s="65">
        <f t="shared" si="8"/>
        <v>0</v>
      </c>
      <c r="AG39" s="66"/>
      <c r="AH39" s="66"/>
      <c r="AI39" s="66">
        <f t="shared" si="9"/>
        <v>0</v>
      </c>
      <c r="AJ39" s="65"/>
      <c r="AK39" s="65"/>
      <c r="AL39" s="65">
        <f t="shared" si="10"/>
        <v>0</v>
      </c>
      <c r="AM39" s="66"/>
      <c r="AN39" s="66"/>
      <c r="AO39" s="66">
        <f t="shared" si="21"/>
        <v>0</v>
      </c>
    </row>
    <row r="40" spans="1:41" s="58" customFormat="1" ht="21.95" customHeight="1" x14ac:dyDescent="0.3">
      <c r="A40" s="4" t="s">
        <v>11</v>
      </c>
      <c r="B40" s="16"/>
      <c r="C40" s="17">
        <f>C37-C38-C39</f>
        <v>-128296</v>
      </c>
      <c r="D40" s="17">
        <f>SUM(D37:D37)</f>
        <v>0</v>
      </c>
      <c r="E40" s="3"/>
      <c r="F40" s="17">
        <f t="shared" ref="F40:AO40" si="22">F37-F38-F39</f>
        <v>-130504</v>
      </c>
      <c r="G40" s="17">
        <f t="shared" si="22"/>
        <v>0</v>
      </c>
      <c r="H40" s="17">
        <f t="shared" si="22"/>
        <v>-130504</v>
      </c>
      <c r="I40" s="17">
        <f t="shared" si="22"/>
        <v>226</v>
      </c>
      <c r="J40" s="17">
        <f t="shared" si="22"/>
        <v>0</v>
      </c>
      <c r="K40" s="17">
        <f t="shared" si="22"/>
        <v>226</v>
      </c>
      <c r="L40" s="17">
        <f t="shared" si="22"/>
        <v>0</v>
      </c>
      <c r="M40" s="17">
        <f t="shared" si="22"/>
        <v>0</v>
      </c>
      <c r="N40" s="17">
        <f t="shared" si="22"/>
        <v>0</v>
      </c>
      <c r="O40" s="17">
        <f t="shared" si="22"/>
        <v>412</v>
      </c>
      <c r="P40" s="17">
        <f t="shared" si="22"/>
        <v>0</v>
      </c>
      <c r="Q40" s="17">
        <f t="shared" si="22"/>
        <v>412</v>
      </c>
      <c r="R40" s="17">
        <f t="shared" si="22"/>
        <v>1497</v>
      </c>
      <c r="S40" s="17">
        <f t="shared" si="22"/>
        <v>0</v>
      </c>
      <c r="T40" s="17">
        <f t="shared" si="22"/>
        <v>1497</v>
      </c>
      <c r="U40" s="17">
        <f t="shared" si="22"/>
        <v>20</v>
      </c>
      <c r="V40" s="17">
        <f t="shared" si="22"/>
        <v>0</v>
      </c>
      <c r="W40" s="17">
        <f t="shared" si="22"/>
        <v>20</v>
      </c>
      <c r="X40" s="17">
        <f t="shared" si="22"/>
        <v>35</v>
      </c>
      <c r="Y40" s="17">
        <f t="shared" si="22"/>
        <v>0</v>
      </c>
      <c r="Z40" s="17">
        <f t="shared" si="22"/>
        <v>35</v>
      </c>
      <c r="AA40" s="17">
        <f t="shared" si="22"/>
        <v>18</v>
      </c>
      <c r="AB40" s="17">
        <f t="shared" si="22"/>
        <v>0</v>
      </c>
      <c r="AC40" s="17">
        <f t="shared" si="22"/>
        <v>18</v>
      </c>
      <c r="AD40" s="17">
        <f t="shared" si="22"/>
        <v>0</v>
      </c>
      <c r="AE40" s="17">
        <f t="shared" si="22"/>
        <v>0</v>
      </c>
      <c r="AF40" s="17">
        <f t="shared" si="22"/>
        <v>0</v>
      </c>
      <c r="AG40" s="17">
        <f t="shared" si="22"/>
        <v>0</v>
      </c>
      <c r="AH40" s="17">
        <f t="shared" si="22"/>
        <v>0</v>
      </c>
      <c r="AI40" s="17">
        <f t="shared" si="22"/>
        <v>0</v>
      </c>
      <c r="AJ40" s="17">
        <f t="shared" si="22"/>
        <v>0</v>
      </c>
      <c r="AK40" s="17">
        <f t="shared" si="22"/>
        <v>0</v>
      </c>
      <c r="AL40" s="17">
        <f t="shared" si="22"/>
        <v>0</v>
      </c>
      <c r="AM40" s="17">
        <f t="shared" si="22"/>
        <v>0</v>
      </c>
      <c r="AN40" s="17">
        <f t="shared" si="22"/>
        <v>0</v>
      </c>
      <c r="AO40" s="17">
        <f t="shared" si="22"/>
        <v>0</v>
      </c>
    </row>
    <row r="41" spans="1:41" s="58" customFormat="1" ht="17.25" x14ac:dyDescent="0.3">
      <c r="A41" s="15"/>
      <c r="B41" s="16"/>
      <c r="C41" s="18"/>
      <c r="D41" s="18"/>
      <c r="E41" s="3"/>
      <c r="F41" s="65"/>
      <c r="G41" s="65"/>
      <c r="H41" s="65">
        <f t="shared" si="0"/>
        <v>0</v>
      </c>
      <c r="I41" s="66"/>
      <c r="J41" s="66"/>
      <c r="K41" s="66">
        <f t="shared" si="1"/>
        <v>0</v>
      </c>
      <c r="L41" s="65"/>
      <c r="M41" s="65"/>
      <c r="N41" s="65">
        <f t="shared" si="2"/>
        <v>0</v>
      </c>
      <c r="O41" s="66"/>
      <c r="P41" s="66"/>
      <c r="Q41" s="66">
        <f t="shared" si="3"/>
        <v>0</v>
      </c>
      <c r="R41" s="65"/>
      <c r="S41" s="65"/>
      <c r="T41" s="65">
        <f t="shared" si="4"/>
        <v>0</v>
      </c>
      <c r="U41" s="66"/>
      <c r="V41" s="66"/>
      <c r="W41" s="66">
        <f t="shared" si="5"/>
        <v>0</v>
      </c>
      <c r="X41" s="65"/>
      <c r="Y41" s="65"/>
      <c r="Z41" s="65">
        <f t="shared" si="6"/>
        <v>0</v>
      </c>
      <c r="AA41" s="66"/>
      <c r="AB41" s="66"/>
      <c r="AC41" s="66">
        <f t="shared" si="7"/>
        <v>0</v>
      </c>
      <c r="AD41" s="65"/>
      <c r="AE41" s="65"/>
      <c r="AF41" s="65">
        <f t="shared" si="8"/>
        <v>0</v>
      </c>
      <c r="AG41" s="66"/>
      <c r="AH41" s="66"/>
      <c r="AI41" s="66">
        <f t="shared" si="9"/>
        <v>0</v>
      </c>
      <c r="AJ41" s="65"/>
      <c r="AK41" s="65"/>
      <c r="AL41" s="65">
        <f t="shared" si="10"/>
        <v>0</v>
      </c>
      <c r="AM41" s="66"/>
      <c r="AN41" s="66"/>
      <c r="AO41" s="66">
        <f t="shared" ref="AO41" si="23">AM41+AN41</f>
        <v>0</v>
      </c>
    </row>
    <row r="42" spans="1:41" s="58" customFormat="1" ht="18" thickBot="1" x14ac:dyDescent="0.35">
      <c r="A42" s="4" t="s">
        <v>12</v>
      </c>
      <c r="B42" s="16"/>
      <c r="C42" s="23">
        <f>C33+C40</f>
        <v>242391</v>
      </c>
      <c r="D42" s="23">
        <f>D33+D40</f>
        <v>280000</v>
      </c>
      <c r="E42" s="3"/>
      <c r="F42" s="23">
        <f t="shared" ref="F42:AO42" si="24">F33+F40</f>
        <v>98953</v>
      </c>
      <c r="G42" s="23">
        <f t="shared" si="24"/>
        <v>-200000</v>
      </c>
      <c r="H42" s="23">
        <f t="shared" si="24"/>
        <v>-101047</v>
      </c>
      <c r="I42" s="23">
        <f t="shared" si="24"/>
        <v>2640</v>
      </c>
      <c r="J42" s="23">
        <f t="shared" si="24"/>
        <v>0</v>
      </c>
      <c r="K42" s="23">
        <f t="shared" si="24"/>
        <v>2640</v>
      </c>
      <c r="L42" s="23">
        <f t="shared" si="24"/>
        <v>0</v>
      </c>
      <c r="M42" s="23">
        <f t="shared" si="24"/>
        <v>0</v>
      </c>
      <c r="N42" s="23">
        <f t="shared" si="24"/>
        <v>0</v>
      </c>
      <c r="O42" s="23">
        <f t="shared" si="24"/>
        <v>-57306</v>
      </c>
      <c r="P42" s="23">
        <f t="shared" si="24"/>
        <v>-303000</v>
      </c>
      <c r="Q42" s="23">
        <f t="shared" si="24"/>
        <v>-360306</v>
      </c>
      <c r="R42" s="23">
        <f t="shared" si="24"/>
        <v>676260</v>
      </c>
      <c r="S42" s="23">
        <f t="shared" si="24"/>
        <v>0</v>
      </c>
      <c r="T42" s="23">
        <f t="shared" si="24"/>
        <v>676260</v>
      </c>
      <c r="U42" s="23">
        <f t="shared" si="24"/>
        <v>21196</v>
      </c>
      <c r="V42" s="23">
        <f t="shared" si="24"/>
        <v>0</v>
      </c>
      <c r="W42" s="23">
        <f t="shared" si="24"/>
        <v>21196</v>
      </c>
      <c r="X42" s="23">
        <f t="shared" si="24"/>
        <v>12747</v>
      </c>
      <c r="Y42" s="23">
        <f t="shared" si="24"/>
        <v>0</v>
      </c>
      <c r="Z42" s="23">
        <f t="shared" si="24"/>
        <v>12747</v>
      </c>
      <c r="AA42" s="23">
        <f t="shared" si="24"/>
        <v>-9099</v>
      </c>
      <c r="AB42" s="23">
        <f t="shared" si="24"/>
        <v>0</v>
      </c>
      <c r="AC42" s="23">
        <f t="shared" si="24"/>
        <v>-9099</v>
      </c>
      <c r="AD42" s="23">
        <f t="shared" si="24"/>
        <v>0</v>
      </c>
      <c r="AE42" s="23">
        <f t="shared" si="24"/>
        <v>0</v>
      </c>
      <c r="AF42" s="23">
        <f t="shared" si="24"/>
        <v>0</v>
      </c>
      <c r="AG42" s="23">
        <f t="shared" si="24"/>
        <v>0</v>
      </c>
      <c r="AH42" s="23">
        <f t="shared" si="24"/>
        <v>0</v>
      </c>
      <c r="AI42" s="23">
        <f t="shared" si="24"/>
        <v>0</v>
      </c>
      <c r="AJ42" s="23">
        <f t="shared" si="24"/>
        <v>0</v>
      </c>
      <c r="AK42" s="23">
        <f t="shared" si="24"/>
        <v>0</v>
      </c>
      <c r="AL42" s="23">
        <f t="shared" si="24"/>
        <v>0</v>
      </c>
      <c r="AM42" s="23">
        <f t="shared" si="24"/>
        <v>0</v>
      </c>
      <c r="AN42" s="23">
        <f t="shared" si="24"/>
        <v>0</v>
      </c>
      <c r="AO42" s="23">
        <f t="shared" si="24"/>
        <v>0</v>
      </c>
    </row>
    <row r="43" spans="1:41" s="58" customFormat="1" ht="18" thickTop="1" x14ac:dyDescent="0.3">
      <c r="A43" s="15"/>
      <c r="B43" s="16"/>
      <c r="C43" s="24"/>
      <c r="D43" s="24"/>
      <c r="E43" s="3"/>
      <c r="F43" s="65"/>
      <c r="G43" s="65"/>
      <c r="H43" s="65"/>
      <c r="I43" s="66"/>
      <c r="J43" s="66"/>
      <c r="K43" s="66"/>
      <c r="L43" s="65"/>
      <c r="M43" s="65"/>
      <c r="N43" s="65"/>
      <c r="O43" s="66"/>
      <c r="P43" s="66"/>
      <c r="Q43" s="66"/>
      <c r="R43" s="65"/>
      <c r="S43" s="65"/>
      <c r="T43" s="65"/>
      <c r="U43" s="66"/>
      <c r="V43" s="66"/>
      <c r="W43" s="66"/>
      <c r="X43" s="65"/>
      <c r="Y43" s="65"/>
      <c r="Z43" s="65"/>
      <c r="AA43" s="66"/>
      <c r="AB43" s="66"/>
      <c r="AC43" s="66"/>
      <c r="AD43" s="65"/>
      <c r="AE43" s="65"/>
      <c r="AF43" s="65"/>
      <c r="AG43" s="66"/>
      <c r="AH43" s="66"/>
      <c r="AI43" s="66"/>
      <c r="AJ43" s="65"/>
      <c r="AK43" s="65"/>
      <c r="AL43" s="65"/>
      <c r="AM43" s="66"/>
      <c r="AN43" s="66"/>
      <c r="AO43" s="66"/>
    </row>
    <row r="44" spans="1:41" s="58" customFormat="1" ht="21.95" customHeight="1" x14ac:dyDescent="0.3">
      <c r="A44" s="15"/>
      <c r="B44" s="16"/>
      <c r="C44" s="24"/>
      <c r="D44" s="24"/>
      <c r="E44" s="3"/>
      <c r="F44" s="65"/>
      <c r="G44" s="65"/>
      <c r="H44" s="65"/>
      <c r="I44" s="66"/>
      <c r="J44" s="66"/>
      <c r="K44" s="66"/>
      <c r="L44" s="65"/>
      <c r="M44" s="65"/>
      <c r="N44" s="65"/>
      <c r="O44" s="66"/>
      <c r="P44" s="66"/>
      <c r="Q44" s="66"/>
      <c r="R44" s="65"/>
      <c r="S44" s="65"/>
      <c r="T44" s="65"/>
      <c r="U44" s="66"/>
      <c r="V44" s="66"/>
      <c r="W44" s="66"/>
      <c r="X44" s="65"/>
      <c r="Y44" s="65"/>
      <c r="Z44" s="65"/>
      <c r="AA44" s="66"/>
      <c r="AB44" s="66"/>
      <c r="AC44" s="66"/>
      <c r="AD44" s="65"/>
      <c r="AE44" s="65"/>
      <c r="AF44" s="65"/>
      <c r="AG44" s="66"/>
      <c r="AH44" s="66"/>
      <c r="AI44" s="66"/>
      <c r="AJ44" s="65"/>
      <c r="AK44" s="65"/>
      <c r="AL44" s="65"/>
      <c r="AM44" s="66"/>
      <c r="AN44" s="66"/>
      <c r="AO44" s="66"/>
    </row>
    <row r="45" spans="1:41" s="58" customFormat="1" ht="17.25" x14ac:dyDescent="0.3">
      <c r="A45" s="4" t="s">
        <v>13</v>
      </c>
      <c r="B45" s="25"/>
      <c r="C45" s="26"/>
      <c r="D45" s="26"/>
      <c r="E45" s="3"/>
      <c r="F45" s="65"/>
      <c r="G45" s="65"/>
      <c r="H45" s="65"/>
      <c r="I45" s="66"/>
      <c r="J45" s="66"/>
      <c r="K45" s="66"/>
      <c r="L45" s="65"/>
      <c r="M45" s="65"/>
      <c r="N45" s="65"/>
      <c r="O45" s="66"/>
      <c r="P45" s="66"/>
      <c r="Q45" s="66"/>
      <c r="R45" s="65"/>
      <c r="S45" s="65"/>
      <c r="T45" s="65"/>
      <c r="U45" s="66"/>
      <c r="V45" s="66"/>
      <c r="W45" s="66"/>
      <c r="X45" s="65"/>
      <c r="Y45" s="65"/>
      <c r="Z45" s="65"/>
      <c r="AA45" s="66"/>
      <c r="AB45" s="66"/>
      <c r="AC45" s="66"/>
      <c r="AD45" s="65"/>
      <c r="AE45" s="65"/>
      <c r="AF45" s="65"/>
      <c r="AG45" s="66"/>
      <c r="AH45" s="66"/>
      <c r="AI45" s="66"/>
      <c r="AJ45" s="65"/>
      <c r="AK45" s="65"/>
      <c r="AL45" s="65"/>
      <c r="AM45" s="66"/>
      <c r="AN45" s="66"/>
      <c r="AO45" s="66"/>
    </row>
    <row r="46" spans="1:41" s="58" customFormat="1" ht="17.25" x14ac:dyDescent="0.3">
      <c r="A46" s="15" t="s">
        <v>14</v>
      </c>
      <c r="B46" s="16"/>
      <c r="C46" s="14">
        <f>H46+K46+N46+Q46+T46+W46+Z46+AC46+AF46+AI46+AL46+AO46</f>
        <v>242391</v>
      </c>
      <c r="D46" s="27">
        <f>D42</f>
        <v>280000</v>
      </c>
      <c r="E46" s="3"/>
      <c r="F46" s="27">
        <f>F42</f>
        <v>98953</v>
      </c>
      <c r="G46" s="27">
        <f t="shared" ref="G46:AO46" si="25">G42</f>
        <v>-200000</v>
      </c>
      <c r="H46" s="27">
        <f t="shared" si="25"/>
        <v>-101047</v>
      </c>
      <c r="I46" s="27">
        <f t="shared" si="25"/>
        <v>2640</v>
      </c>
      <c r="J46" s="27">
        <f t="shared" si="25"/>
        <v>0</v>
      </c>
      <c r="K46" s="27">
        <f t="shared" si="25"/>
        <v>2640</v>
      </c>
      <c r="L46" s="27">
        <f t="shared" si="25"/>
        <v>0</v>
      </c>
      <c r="M46" s="27">
        <f t="shared" si="25"/>
        <v>0</v>
      </c>
      <c r="N46" s="27">
        <f>L46+M46</f>
        <v>0</v>
      </c>
      <c r="O46" s="27">
        <f t="shared" si="25"/>
        <v>-57306</v>
      </c>
      <c r="P46" s="27">
        <f t="shared" si="25"/>
        <v>-303000</v>
      </c>
      <c r="Q46" s="27">
        <f t="shared" si="25"/>
        <v>-360306</v>
      </c>
      <c r="R46" s="27">
        <f t="shared" si="25"/>
        <v>676260</v>
      </c>
      <c r="S46" s="121">
        <f>S42</f>
        <v>0</v>
      </c>
      <c r="T46" s="27">
        <f>R46+S46</f>
        <v>676260</v>
      </c>
      <c r="U46" s="27">
        <f t="shared" si="25"/>
        <v>21196</v>
      </c>
      <c r="V46" s="27">
        <f t="shared" si="25"/>
        <v>0</v>
      </c>
      <c r="W46" s="27">
        <f t="shared" si="25"/>
        <v>21196</v>
      </c>
      <c r="X46" s="27">
        <f t="shared" si="25"/>
        <v>12747</v>
      </c>
      <c r="Y46" s="27">
        <f t="shared" si="25"/>
        <v>0</v>
      </c>
      <c r="Z46" s="27">
        <f t="shared" si="25"/>
        <v>12747</v>
      </c>
      <c r="AA46" s="27">
        <f t="shared" si="25"/>
        <v>-9099</v>
      </c>
      <c r="AB46" s="27">
        <f t="shared" si="25"/>
        <v>0</v>
      </c>
      <c r="AC46" s="27">
        <f t="shared" si="25"/>
        <v>-9099</v>
      </c>
      <c r="AD46" s="27">
        <f t="shared" si="25"/>
        <v>0</v>
      </c>
      <c r="AE46" s="27">
        <f t="shared" si="25"/>
        <v>0</v>
      </c>
      <c r="AF46" s="27">
        <f t="shared" si="25"/>
        <v>0</v>
      </c>
      <c r="AG46" s="27">
        <f t="shared" si="25"/>
        <v>0</v>
      </c>
      <c r="AH46" s="27">
        <f t="shared" si="25"/>
        <v>0</v>
      </c>
      <c r="AI46" s="27">
        <f t="shared" si="25"/>
        <v>0</v>
      </c>
      <c r="AJ46" s="27">
        <f t="shared" si="25"/>
        <v>0</v>
      </c>
      <c r="AK46" s="27">
        <f t="shared" si="25"/>
        <v>0</v>
      </c>
      <c r="AL46" s="27">
        <f t="shared" si="25"/>
        <v>0</v>
      </c>
      <c r="AM46" s="27">
        <f t="shared" si="25"/>
        <v>0</v>
      </c>
      <c r="AN46" s="27">
        <f t="shared" si="25"/>
        <v>0</v>
      </c>
      <c r="AO46" s="27">
        <f t="shared" si="25"/>
        <v>0</v>
      </c>
    </row>
    <row r="47" spans="1:41" s="58" customFormat="1" ht="18.95" customHeight="1" thickBot="1" x14ac:dyDescent="0.35">
      <c r="A47" s="4" t="s">
        <v>15</v>
      </c>
      <c r="B47" s="16"/>
      <c r="C47" s="23">
        <f>SUM(C46:C46)</f>
        <v>242391</v>
      </c>
      <c r="D47" s="23">
        <f>D42</f>
        <v>280000</v>
      </c>
      <c r="E47" s="3"/>
      <c r="F47" s="23">
        <f t="shared" ref="F47:AO47" si="26">SUM(F46:F46)</f>
        <v>98953</v>
      </c>
      <c r="G47" s="23">
        <f t="shared" si="26"/>
        <v>-200000</v>
      </c>
      <c r="H47" s="23">
        <f t="shared" si="26"/>
        <v>-101047</v>
      </c>
      <c r="I47" s="23">
        <f t="shared" si="26"/>
        <v>2640</v>
      </c>
      <c r="J47" s="23">
        <f t="shared" si="26"/>
        <v>0</v>
      </c>
      <c r="K47" s="23">
        <f t="shared" si="26"/>
        <v>2640</v>
      </c>
      <c r="L47" s="23">
        <f t="shared" si="26"/>
        <v>0</v>
      </c>
      <c r="M47" s="23">
        <f t="shared" si="26"/>
        <v>0</v>
      </c>
      <c r="N47" s="23">
        <f t="shared" si="26"/>
        <v>0</v>
      </c>
      <c r="O47" s="23">
        <f t="shared" si="26"/>
        <v>-57306</v>
      </c>
      <c r="P47" s="23">
        <f t="shared" si="26"/>
        <v>-303000</v>
      </c>
      <c r="Q47" s="23">
        <f t="shared" si="26"/>
        <v>-360306</v>
      </c>
      <c r="R47" s="23">
        <f t="shared" si="26"/>
        <v>676260</v>
      </c>
      <c r="S47" s="23">
        <f t="shared" si="26"/>
        <v>0</v>
      </c>
      <c r="T47" s="23">
        <f t="shared" si="26"/>
        <v>676260</v>
      </c>
      <c r="U47" s="23">
        <f t="shared" si="26"/>
        <v>21196</v>
      </c>
      <c r="V47" s="23">
        <f t="shared" si="26"/>
        <v>0</v>
      </c>
      <c r="W47" s="23">
        <f t="shared" si="26"/>
        <v>21196</v>
      </c>
      <c r="X47" s="23">
        <f t="shared" si="26"/>
        <v>12747</v>
      </c>
      <c r="Y47" s="23">
        <f t="shared" si="26"/>
        <v>0</v>
      </c>
      <c r="Z47" s="23">
        <f t="shared" si="26"/>
        <v>12747</v>
      </c>
      <c r="AA47" s="23">
        <f t="shared" si="26"/>
        <v>-9099</v>
      </c>
      <c r="AB47" s="23">
        <f t="shared" si="26"/>
        <v>0</v>
      </c>
      <c r="AC47" s="23">
        <f t="shared" si="26"/>
        <v>-9099</v>
      </c>
      <c r="AD47" s="23">
        <f t="shared" si="26"/>
        <v>0</v>
      </c>
      <c r="AE47" s="23">
        <f t="shared" si="26"/>
        <v>0</v>
      </c>
      <c r="AF47" s="23">
        <f t="shared" si="26"/>
        <v>0</v>
      </c>
      <c r="AG47" s="23">
        <f t="shared" si="26"/>
        <v>0</v>
      </c>
      <c r="AH47" s="23">
        <f t="shared" si="26"/>
        <v>0</v>
      </c>
      <c r="AI47" s="23">
        <f t="shared" si="26"/>
        <v>0</v>
      </c>
      <c r="AJ47" s="23">
        <f t="shared" si="26"/>
        <v>0</v>
      </c>
      <c r="AK47" s="23">
        <f t="shared" si="26"/>
        <v>0</v>
      </c>
      <c r="AL47" s="23">
        <f t="shared" si="26"/>
        <v>0</v>
      </c>
      <c r="AM47" s="23">
        <f t="shared" si="26"/>
        <v>0</v>
      </c>
      <c r="AN47" s="23">
        <f t="shared" si="26"/>
        <v>0</v>
      </c>
      <c r="AO47" s="23">
        <f t="shared" si="26"/>
        <v>0</v>
      </c>
    </row>
    <row r="48" spans="1:41" s="58" customFormat="1" ht="18.95" customHeight="1" thickTop="1" x14ac:dyDescent="0.3">
      <c r="A48" s="4"/>
      <c r="B48" s="16"/>
      <c r="C48" s="28"/>
      <c r="D48" s="29"/>
      <c r="E48" s="3"/>
      <c r="F48" s="65"/>
      <c r="G48" s="65"/>
      <c r="H48" s="65"/>
      <c r="I48" s="66"/>
      <c r="J48" s="66"/>
      <c r="K48" s="66"/>
      <c r="L48" s="65"/>
      <c r="M48" s="65"/>
      <c r="N48" s="65"/>
      <c r="O48" s="66"/>
      <c r="P48" s="66"/>
      <c r="Q48" s="66"/>
      <c r="R48" s="65"/>
      <c r="S48" s="65"/>
      <c r="T48" s="65"/>
      <c r="U48" s="66"/>
      <c r="V48" s="66"/>
      <c r="W48" s="66"/>
      <c r="X48" s="65"/>
      <c r="Y48" s="65"/>
      <c r="Z48" s="65"/>
      <c r="AA48" s="66"/>
      <c r="AB48" s="66"/>
      <c r="AC48" s="66"/>
      <c r="AD48" s="65"/>
      <c r="AE48" s="65"/>
      <c r="AF48" s="65"/>
      <c r="AG48" s="66"/>
      <c r="AH48" s="66"/>
      <c r="AI48" s="66"/>
      <c r="AJ48" s="65"/>
      <c r="AK48" s="65"/>
      <c r="AL48" s="65"/>
      <c r="AM48" s="66"/>
      <c r="AN48" s="66"/>
      <c r="AO48" s="66"/>
    </row>
    <row r="49" spans="1:41" s="58" customFormat="1" ht="18.95" customHeight="1" x14ac:dyDescent="0.3">
      <c r="A49" s="4"/>
      <c r="B49" s="16"/>
      <c r="C49" s="28"/>
      <c r="D49" s="29"/>
      <c r="E49" s="3"/>
      <c r="F49" s="65"/>
      <c r="G49" s="65"/>
      <c r="H49" s="65"/>
      <c r="I49" s="66"/>
      <c r="J49" s="66"/>
      <c r="K49" s="66"/>
      <c r="L49" s="65"/>
      <c r="M49" s="65"/>
      <c r="N49" s="65"/>
      <c r="O49" s="66"/>
      <c r="P49" s="66"/>
      <c r="Q49" s="66"/>
      <c r="R49" s="65"/>
      <c r="S49" s="65"/>
      <c r="T49" s="65"/>
      <c r="U49" s="66"/>
      <c r="V49" s="66"/>
      <c r="W49" s="66"/>
      <c r="X49" s="65"/>
      <c r="Y49" s="65"/>
      <c r="Z49" s="65"/>
      <c r="AA49" s="66"/>
      <c r="AB49" s="66"/>
      <c r="AC49" s="66"/>
      <c r="AD49" s="65"/>
      <c r="AE49" s="65"/>
      <c r="AF49" s="65"/>
      <c r="AG49" s="66"/>
      <c r="AH49" s="66"/>
      <c r="AI49" s="66"/>
      <c r="AJ49" s="65"/>
      <c r="AK49" s="65"/>
      <c r="AL49" s="65"/>
      <c r="AM49" s="66"/>
      <c r="AN49" s="66"/>
      <c r="AO49" s="66"/>
    </row>
    <row r="50" spans="1:41" s="58" customFormat="1" ht="30" customHeight="1" x14ac:dyDescent="0.4">
      <c r="A50" s="1" t="str">
        <f>A1</f>
        <v>Otta Idrettslag - med undergrupper</v>
      </c>
      <c r="B50" s="16"/>
      <c r="C50" s="28"/>
      <c r="D50" s="29"/>
      <c r="E50" s="3"/>
      <c r="F50" s="65"/>
      <c r="G50" s="65"/>
      <c r="H50" s="65"/>
      <c r="I50" s="66"/>
      <c r="J50" s="66"/>
      <c r="K50" s="66"/>
      <c r="L50" s="65"/>
      <c r="M50" s="65"/>
      <c r="N50" s="65"/>
      <c r="O50" s="66"/>
      <c r="P50" s="66"/>
      <c r="Q50" s="66"/>
      <c r="R50" s="65"/>
      <c r="S50" s="65"/>
      <c r="T50" s="65"/>
      <c r="U50" s="66"/>
      <c r="V50" s="66"/>
      <c r="W50" s="66"/>
      <c r="X50" s="65"/>
      <c r="Y50" s="65"/>
      <c r="Z50" s="65"/>
      <c r="AA50" s="66"/>
      <c r="AB50" s="66"/>
      <c r="AC50" s="66"/>
      <c r="AD50" s="65"/>
      <c r="AE50" s="65"/>
      <c r="AF50" s="65"/>
      <c r="AG50" s="66"/>
      <c r="AH50" s="66"/>
      <c r="AI50" s="66"/>
      <c r="AJ50" s="65"/>
      <c r="AK50" s="65"/>
      <c r="AL50" s="65"/>
      <c r="AM50" s="66"/>
      <c r="AN50" s="66"/>
      <c r="AO50" s="66"/>
    </row>
    <row r="51" spans="1:41" s="58" customFormat="1" x14ac:dyDescent="0.2">
      <c r="A51" s="15"/>
      <c r="B51" s="143"/>
      <c r="C51" s="14"/>
      <c r="D51" s="14"/>
      <c r="E51" s="3"/>
      <c r="F51" s="65"/>
      <c r="G51" s="65"/>
      <c r="H51" s="65"/>
      <c r="I51" s="66"/>
      <c r="J51" s="66"/>
      <c r="K51" s="66"/>
      <c r="L51" s="65"/>
      <c r="M51" s="65"/>
      <c r="N51" s="65"/>
      <c r="O51" s="66"/>
      <c r="P51" s="66"/>
      <c r="Q51" s="66"/>
      <c r="R51" s="65"/>
      <c r="S51" s="65"/>
      <c r="T51" s="65"/>
      <c r="U51" s="66"/>
      <c r="V51" s="66"/>
      <c r="W51" s="66"/>
      <c r="X51" s="65"/>
      <c r="Y51" s="65"/>
      <c r="Z51" s="65"/>
      <c r="AA51" s="66"/>
      <c r="AB51" s="66"/>
      <c r="AC51" s="66"/>
      <c r="AD51" s="65"/>
      <c r="AE51" s="65"/>
      <c r="AF51" s="65"/>
      <c r="AG51" s="66"/>
      <c r="AH51" s="66"/>
      <c r="AI51" s="66"/>
      <c r="AJ51" s="65"/>
      <c r="AK51" s="65"/>
      <c r="AL51" s="65"/>
      <c r="AM51" s="66"/>
      <c r="AN51" s="66"/>
      <c r="AO51" s="66"/>
    </row>
    <row r="52" spans="1:41" s="58" customFormat="1" x14ac:dyDescent="0.2">
      <c r="A52" s="4" t="s">
        <v>16</v>
      </c>
      <c r="B52" s="143"/>
      <c r="C52" s="30"/>
      <c r="D52" s="30"/>
      <c r="E52" s="3"/>
      <c r="F52" s="65"/>
      <c r="G52" s="65"/>
      <c r="H52" s="65"/>
      <c r="I52" s="66"/>
      <c r="J52" s="66"/>
      <c r="K52" s="66"/>
      <c r="L52" s="65"/>
      <c r="M52" s="65"/>
      <c r="N52" s="65"/>
      <c r="O52" s="66"/>
      <c r="P52" s="66"/>
      <c r="Q52" s="66"/>
      <c r="R52" s="65"/>
      <c r="S52" s="65"/>
      <c r="T52" s="65"/>
      <c r="U52" s="66"/>
      <c r="V52" s="66"/>
      <c r="W52" s="66"/>
      <c r="X52" s="65"/>
      <c r="Y52" s="65"/>
      <c r="Z52" s="65"/>
      <c r="AA52" s="66"/>
      <c r="AB52" s="66"/>
      <c r="AC52" s="66"/>
      <c r="AD52" s="65"/>
      <c r="AE52" s="65"/>
      <c r="AF52" s="65"/>
      <c r="AG52" s="66"/>
      <c r="AH52" s="66"/>
      <c r="AI52" s="66"/>
      <c r="AJ52" s="65"/>
      <c r="AK52" s="65"/>
      <c r="AL52" s="65"/>
      <c r="AM52" s="66"/>
      <c r="AN52" s="66"/>
      <c r="AO52" s="66"/>
    </row>
    <row r="53" spans="1:41" s="58" customFormat="1" x14ac:dyDescent="0.2">
      <c r="A53" s="31"/>
      <c r="B53" s="32"/>
      <c r="C53" s="33">
        <f>C4</f>
        <v>2016</v>
      </c>
      <c r="D53" s="34"/>
      <c r="E53" s="3"/>
      <c r="F53" s="65"/>
      <c r="G53" s="65"/>
      <c r="H53" s="65"/>
      <c r="I53" s="66"/>
      <c r="J53" s="66"/>
      <c r="K53" s="66"/>
      <c r="L53" s="65"/>
      <c r="M53" s="65"/>
      <c r="N53" s="65"/>
      <c r="O53" s="66"/>
      <c r="P53" s="66"/>
      <c r="Q53" s="66"/>
      <c r="R53" s="65"/>
      <c r="S53" s="65"/>
      <c r="T53" s="65"/>
      <c r="U53" s="66"/>
      <c r="V53" s="66"/>
      <c r="W53" s="66"/>
      <c r="X53" s="65"/>
      <c r="Y53" s="65"/>
      <c r="Z53" s="65"/>
      <c r="AA53" s="66"/>
      <c r="AB53" s="66"/>
      <c r="AC53" s="66"/>
      <c r="AD53" s="65"/>
      <c r="AE53" s="65"/>
      <c r="AF53" s="65"/>
      <c r="AG53" s="66"/>
      <c r="AH53" s="66"/>
      <c r="AI53" s="66"/>
      <c r="AJ53" s="65"/>
      <c r="AK53" s="65"/>
      <c r="AL53" s="65"/>
      <c r="AM53" s="66"/>
      <c r="AN53" s="66"/>
      <c r="AO53" s="66"/>
    </row>
    <row r="54" spans="1:41" s="58" customFormat="1" ht="15.75" x14ac:dyDescent="0.25">
      <c r="A54" s="35" t="s">
        <v>17</v>
      </c>
      <c r="B54" s="36" t="s">
        <v>4</v>
      </c>
      <c r="C54" s="37"/>
      <c r="D54" s="38"/>
      <c r="E54" s="3"/>
      <c r="F54" s="65"/>
      <c r="G54" s="65"/>
      <c r="H54" s="65"/>
      <c r="I54" s="66"/>
      <c r="J54" s="66"/>
      <c r="K54" s="66"/>
      <c r="L54" s="65"/>
      <c r="M54" s="65"/>
      <c r="N54" s="65"/>
      <c r="O54" s="66"/>
      <c r="P54" s="66"/>
      <c r="Q54" s="66"/>
      <c r="R54" s="65"/>
      <c r="S54" s="65"/>
      <c r="T54" s="65"/>
      <c r="U54" s="66"/>
      <c r="V54" s="66"/>
      <c r="W54" s="66"/>
      <c r="X54" s="65"/>
      <c r="Y54" s="65"/>
      <c r="Z54" s="65"/>
      <c r="AA54" s="66"/>
      <c r="AB54" s="66"/>
      <c r="AC54" s="66"/>
      <c r="AD54" s="65"/>
      <c r="AE54" s="65"/>
      <c r="AF54" s="65"/>
      <c r="AG54" s="66"/>
      <c r="AH54" s="66"/>
      <c r="AI54" s="66"/>
      <c r="AJ54" s="65"/>
      <c r="AK54" s="65"/>
      <c r="AL54" s="65"/>
      <c r="AM54" s="66"/>
      <c r="AN54" s="66"/>
      <c r="AO54" s="66"/>
    </row>
    <row r="55" spans="1:41" s="58" customFormat="1" ht="19.5" customHeight="1" x14ac:dyDescent="0.25">
      <c r="A55" s="39"/>
      <c r="B55" s="40"/>
      <c r="C55" s="41"/>
      <c r="D55" s="38"/>
      <c r="E55" s="3"/>
      <c r="F55" s="65"/>
      <c r="G55" s="65"/>
      <c r="H55" s="65"/>
      <c r="I55" s="66"/>
      <c r="J55" s="66"/>
      <c r="K55" s="66"/>
      <c r="L55" s="65"/>
      <c r="M55" s="65"/>
      <c r="N55" s="65"/>
      <c r="O55" s="66"/>
      <c r="P55" s="66"/>
      <c r="Q55" s="66"/>
      <c r="R55" s="65"/>
      <c r="S55" s="65"/>
      <c r="T55" s="65"/>
      <c r="U55" s="66"/>
      <c r="V55" s="66"/>
      <c r="W55" s="66"/>
      <c r="X55" s="65"/>
      <c r="Y55" s="65"/>
      <c r="Z55" s="65"/>
      <c r="AA55" s="66"/>
      <c r="AB55" s="66"/>
      <c r="AC55" s="66"/>
      <c r="AD55" s="65"/>
      <c r="AE55" s="65"/>
      <c r="AF55" s="65"/>
      <c r="AG55" s="66"/>
      <c r="AH55" s="66"/>
      <c r="AI55" s="66"/>
      <c r="AJ55" s="65"/>
      <c r="AK55" s="65"/>
      <c r="AL55" s="65"/>
      <c r="AM55" s="66"/>
      <c r="AN55" s="66"/>
      <c r="AO55" s="66"/>
    </row>
    <row r="56" spans="1:41" s="58" customFormat="1" ht="15.75" x14ac:dyDescent="0.25">
      <c r="A56" s="4" t="s">
        <v>18</v>
      </c>
      <c r="B56" s="16"/>
      <c r="C56" s="41"/>
      <c r="D56" s="42"/>
      <c r="E56" s="3"/>
      <c r="F56" s="65"/>
      <c r="G56" s="65"/>
      <c r="H56" s="65"/>
      <c r="I56" s="66"/>
      <c r="J56" s="66"/>
      <c r="K56" s="66"/>
      <c r="L56" s="65"/>
      <c r="M56" s="65"/>
      <c r="N56" s="65"/>
      <c r="O56" s="66"/>
      <c r="P56" s="66"/>
      <c r="Q56" s="66"/>
      <c r="R56" s="65"/>
      <c r="S56" s="65"/>
      <c r="T56" s="65"/>
      <c r="U56" s="66"/>
      <c r="V56" s="66"/>
      <c r="W56" s="66"/>
      <c r="X56" s="65"/>
      <c r="Y56" s="65"/>
      <c r="Z56" s="65"/>
      <c r="AA56" s="66"/>
      <c r="AB56" s="66"/>
      <c r="AC56" s="66"/>
      <c r="AD56" s="65"/>
      <c r="AE56" s="65"/>
      <c r="AF56" s="65"/>
      <c r="AG56" s="66"/>
      <c r="AH56" s="66"/>
      <c r="AI56" s="66"/>
      <c r="AJ56" s="65"/>
      <c r="AK56" s="65"/>
      <c r="AL56" s="65"/>
      <c r="AM56" s="66"/>
      <c r="AN56" s="66"/>
      <c r="AO56" s="66"/>
    </row>
    <row r="57" spans="1:41" s="58" customFormat="1" ht="14.1" customHeight="1" x14ac:dyDescent="0.3">
      <c r="A57" s="15"/>
      <c r="B57" s="16"/>
      <c r="C57" s="41"/>
      <c r="D57" s="28"/>
      <c r="E57" s="3"/>
      <c r="F57" s="65"/>
      <c r="G57" s="65"/>
      <c r="H57" s="65"/>
      <c r="I57" s="66"/>
      <c r="J57" s="66"/>
      <c r="K57" s="66"/>
      <c r="L57" s="65"/>
      <c r="M57" s="65"/>
      <c r="N57" s="65"/>
      <c r="O57" s="66"/>
      <c r="P57" s="66"/>
      <c r="Q57" s="66"/>
      <c r="R57" s="65"/>
      <c r="S57" s="65"/>
      <c r="T57" s="65"/>
      <c r="U57" s="66"/>
      <c r="V57" s="66"/>
      <c r="W57" s="66"/>
      <c r="X57" s="65"/>
      <c r="Y57" s="65"/>
      <c r="Z57" s="65"/>
      <c r="AA57" s="66"/>
      <c r="AB57" s="66"/>
      <c r="AC57" s="66"/>
      <c r="AD57" s="65"/>
      <c r="AE57" s="65"/>
      <c r="AF57" s="65"/>
      <c r="AG57" s="66"/>
      <c r="AH57" s="66"/>
      <c r="AI57" s="66"/>
      <c r="AJ57" s="65"/>
      <c r="AK57" s="65"/>
      <c r="AL57" s="65"/>
      <c r="AM57" s="66"/>
      <c r="AN57" s="66"/>
      <c r="AO57" s="66"/>
    </row>
    <row r="58" spans="1:41" s="58" customFormat="1" ht="15.75" x14ac:dyDescent="0.25">
      <c r="A58" s="70" t="s">
        <v>70</v>
      </c>
      <c r="B58" s="16"/>
      <c r="C58" s="41"/>
      <c r="D58" s="42"/>
      <c r="E58" s="3"/>
      <c r="F58" s="65"/>
      <c r="G58" s="65"/>
      <c r="H58" s="65"/>
      <c r="I58" s="66"/>
      <c r="J58" s="66"/>
      <c r="K58" s="66"/>
      <c r="L58" s="65"/>
      <c r="M58" s="65"/>
      <c r="N58" s="65"/>
      <c r="O58" s="66"/>
      <c r="P58" s="66"/>
      <c r="Q58" s="66"/>
      <c r="R58" s="65"/>
      <c r="S58" s="65"/>
      <c r="T58" s="65"/>
      <c r="U58" s="66"/>
      <c r="V58" s="66"/>
      <c r="W58" s="66"/>
      <c r="X58" s="65"/>
      <c r="Y58" s="65"/>
      <c r="Z58" s="65"/>
      <c r="AA58" s="66"/>
      <c r="AB58" s="66"/>
      <c r="AC58" s="66"/>
      <c r="AD58" s="65"/>
      <c r="AE58" s="65"/>
      <c r="AF58" s="65"/>
      <c r="AG58" s="66"/>
      <c r="AH58" s="66"/>
      <c r="AI58" s="66"/>
      <c r="AJ58" s="65"/>
      <c r="AK58" s="65"/>
      <c r="AL58" s="65"/>
      <c r="AM58" s="66"/>
      <c r="AN58" s="66"/>
      <c r="AO58" s="66"/>
    </row>
    <row r="59" spans="1:41" s="58" customFormat="1" ht="15.75" x14ac:dyDescent="0.25">
      <c r="A59" s="68" t="s">
        <v>66</v>
      </c>
      <c r="B59" s="16"/>
      <c r="C59" s="14">
        <f>H59+K59+N59+Q59+T59+W59+Z59+AC59+AF59+AI59+AL59+AO59</f>
        <v>3431400</v>
      </c>
      <c r="D59" s="42"/>
      <c r="E59" s="3"/>
      <c r="F59" s="134">
        <v>3431400</v>
      </c>
      <c r="G59" s="65"/>
      <c r="H59" s="65">
        <f t="shared" ref="H59:H95" si="27">F59+G59</f>
        <v>3431400</v>
      </c>
      <c r="I59" s="132">
        <v>0</v>
      </c>
      <c r="J59" s="66"/>
      <c r="K59" s="66">
        <f t="shared" ref="K59:K95" si="28">I59+J59</f>
        <v>0</v>
      </c>
      <c r="L59" s="132">
        <v>0</v>
      </c>
      <c r="M59" s="65"/>
      <c r="N59" s="65">
        <f t="shared" ref="N59:N95" si="29">L59+M59</f>
        <v>0</v>
      </c>
      <c r="O59" s="132">
        <v>0</v>
      </c>
      <c r="P59" s="66"/>
      <c r="Q59" s="66">
        <f t="shared" ref="Q59:Q95" si="30">O59+P59</f>
        <v>0</v>
      </c>
      <c r="R59" s="132">
        <v>0</v>
      </c>
      <c r="S59" s="65"/>
      <c r="T59" s="65">
        <f t="shared" ref="T59:T95" si="31">R59+S59</f>
        <v>0</v>
      </c>
      <c r="U59" s="66"/>
      <c r="V59" s="66"/>
      <c r="W59" s="66">
        <f t="shared" ref="W59:W95" si="32">U59+V59</f>
        <v>0</v>
      </c>
      <c r="X59" s="65"/>
      <c r="Y59" s="65"/>
      <c r="Z59" s="65">
        <f t="shared" ref="Z59:Z95" si="33">X59+Y59</f>
        <v>0</v>
      </c>
      <c r="AA59" s="66"/>
      <c r="AB59" s="66"/>
      <c r="AC59" s="66">
        <f t="shared" ref="AC59:AC95" si="34">AA59+AB59</f>
        <v>0</v>
      </c>
      <c r="AD59" s="65"/>
      <c r="AE59" s="65"/>
      <c r="AF59" s="65">
        <f t="shared" ref="AF59:AF95" si="35">AD59+AE59</f>
        <v>0</v>
      </c>
      <c r="AG59" s="66"/>
      <c r="AH59" s="66"/>
      <c r="AI59" s="66">
        <f t="shared" ref="AI59:AI95" si="36">AG59+AH59</f>
        <v>0</v>
      </c>
      <c r="AJ59" s="65"/>
      <c r="AK59" s="65"/>
      <c r="AL59" s="65">
        <f t="shared" ref="AL59:AL95" si="37">AJ59+AK59</f>
        <v>0</v>
      </c>
      <c r="AM59" s="66"/>
      <c r="AN59" s="66"/>
      <c r="AO59" s="66">
        <f t="shared" ref="AO59:AO60" si="38">AM59+AN59</f>
        <v>0</v>
      </c>
    </row>
    <row r="60" spans="1:41" s="58" customFormat="1" ht="17.25" x14ac:dyDescent="0.3">
      <c r="A60" s="68" t="s">
        <v>67</v>
      </c>
      <c r="B60" s="16"/>
      <c r="C60" s="14">
        <f>H60+K60+N60+Q60+T60+W60+Z60+AC60+AF60+AI60+AL60+AO60</f>
        <v>18000</v>
      </c>
      <c r="D60" s="24"/>
      <c r="E60" s="3"/>
      <c r="F60" s="134">
        <v>18000</v>
      </c>
      <c r="G60" s="65"/>
      <c r="H60" s="65">
        <f t="shared" si="27"/>
        <v>18000</v>
      </c>
      <c r="I60" s="132">
        <v>0</v>
      </c>
      <c r="J60" s="66"/>
      <c r="K60" s="66">
        <f t="shared" si="28"/>
        <v>0</v>
      </c>
      <c r="L60" s="132">
        <v>0</v>
      </c>
      <c r="M60" s="65"/>
      <c r="N60" s="65">
        <f t="shared" si="29"/>
        <v>0</v>
      </c>
      <c r="O60" s="132">
        <v>0</v>
      </c>
      <c r="P60" s="66"/>
      <c r="Q60" s="66">
        <f t="shared" si="30"/>
        <v>0</v>
      </c>
      <c r="R60" s="132">
        <v>0</v>
      </c>
      <c r="S60" s="65"/>
      <c r="T60" s="65">
        <f t="shared" si="31"/>
        <v>0</v>
      </c>
      <c r="U60" s="66"/>
      <c r="V60" s="66"/>
      <c r="W60" s="66">
        <f t="shared" si="32"/>
        <v>0</v>
      </c>
      <c r="X60" s="65"/>
      <c r="Y60" s="65"/>
      <c r="Z60" s="65">
        <f t="shared" si="33"/>
        <v>0</v>
      </c>
      <c r="AA60" s="66"/>
      <c r="AB60" s="66"/>
      <c r="AC60" s="66">
        <f t="shared" si="34"/>
        <v>0</v>
      </c>
      <c r="AD60" s="65"/>
      <c r="AE60" s="65"/>
      <c r="AF60" s="65">
        <f t="shared" si="35"/>
        <v>0</v>
      </c>
      <c r="AG60" s="66"/>
      <c r="AH60" s="66"/>
      <c r="AI60" s="66">
        <f t="shared" si="36"/>
        <v>0</v>
      </c>
      <c r="AJ60" s="65"/>
      <c r="AK60" s="65"/>
      <c r="AL60" s="65">
        <f t="shared" si="37"/>
        <v>0</v>
      </c>
      <c r="AM60" s="66"/>
      <c r="AN60" s="66"/>
      <c r="AO60" s="66">
        <f t="shared" si="38"/>
        <v>0</v>
      </c>
    </row>
    <row r="61" spans="1:41" s="58" customFormat="1" ht="17.25" x14ac:dyDescent="0.3">
      <c r="A61" s="4" t="s">
        <v>19</v>
      </c>
      <c r="B61" s="16"/>
      <c r="C61" s="17">
        <f>SUM(C59:C60)</f>
        <v>3449400</v>
      </c>
      <c r="D61" s="28"/>
      <c r="E61" s="3"/>
      <c r="F61" s="17">
        <f>SUM(F59:F60)</f>
        <v>3449400</v>
      </c>
      <c r="G61" s="17">
        <f t="shared" ref="G61:AO61" si="39">SUM(G59:G60)</f>
        <v>0</v>
      </c>
      <c r="H61" s="17">
        <f t="shared" si="39"/>
        <v>3449400</v>
      </c>
      <c r="I61" s="17">
        <f t="shared" si="39"/>
        <v>0</v>
      </c>
      <c r="J61" s="17">
        <f t="shared" si="39"/>
        <v>0</v>
      </c>
      <c r="K61" s="17">
        <f t="shared" si="39"/>
        <v>0</v>
      </c>
      <c r="L61" s="17">
        <f t="shared" si="39"/>
        <v>0</v>
      </c>
      <c r="M61" s="17">
        <f t="shared" si="39"/>
        <v>0</v>
      </c>
      <c r="N61" s="17">
        <f t="shared" si="39"/>
        <v>0</v>
      </c>
      <c r="O61" s="17">
        <f t="shared" si="39"/>
        <v>0</v>
      </c>
      <c r="P61" s="17">
        <f t="shared" si="39"/>
        <v>0</v>
      </c>
      <c r="Q61" s="17">
        <f t="shared" si="39"/>
        <v>0</v>
      </c>
      <c r="R61" s="17">
        <f t="shared" si="39"/>
        <v>0</v>
      </c>
      <c r="S61" s="17">
        <f t="shared" si="39"/>
        <v>0</v>
      </c>
      <c r="T61" s="17">
        <f t="shared" si="39"/>
        <v>0</v>
      </c>
      <c r="U61" s="17">
        <f t="shared" si="39"/>
        <v>0</v>
      </c>
      <c r="V61" s="17">
        <f t="shared" si="39"/>
        <v>0</v>
      </c>
      <c r="W61" s="17">
        <f t="shared" si="39"/>
        <v>0</v>
      </c>
      <c r="X61" s="17">
        <f t="shared" si="39"/>
        <v>0</v>
      </c>
      <c r="Y61" s="17">
        <f t="shared" si="39"/>
        <v>0</v>
      </c>
      <c r="Z61" s="17">
        <f t="shared" si="39"/>
        <v>0</v>
      </c>
      <c r="AA61" s="17">
        <f t="shared" si="39"/>
        <v>0</v>
      </c>
      <c r="AB61" s="17">
        <f t="shared" si="39"/>
        <v>0</v>
      </c>
      <c r="AC61" s="17">
        <f t="shared" si="39"/>
        <v>0</v>
      </c>
      <c r="AD61" s="17">
        <f t="shared" si="39"/>
        <v>0</v>
      </c>
      <c r="AE61" s="17">
        <f t="shared" si="39"/>
        <v>0</v>
      </c>
      <c r="AF61" s="17">
        <f t="shared" si="39"/>
        <v>0</v>
      </c>
      <c r="AG61" s="17">
        <f t="shared" si="39"/>
        <v>0</v>
      </c>
      <c r="AH61" s="17">
        <f t="shared" si="39"/>
        <v>0</v>
      </c>
      <c r="AI61" s="17">
        <f t="shared" si="39"/>
        <v>0</v>
      </c>
      <c r="AJ61" s="17">
        <f t="shared" si="39"/>
        <v>0</v>
      </c>
      <c r="AK61" s="17">
        <f t="shared" si="39"/>
        <v>0</v>
      </c>
      <c r="AL61" s="17">
        <f t="shared" si="39"/>
        <v>0</v>
      </c>
      <c r="AM61" s="17">
        <f t="shared" si="39"/>
        <v>0</v>
      </c>
      <c r="AN61" s="17">
        <f t="shared" si="39"/>
        <v>0</v>
      </c>
      <c r="AO61" s="17">
        <f t="shared" si="39"/>
        <v>0</v>
      </c>
    </row>
    <row r="62" spans="1:41" s="58" customFormat="1" ht="17.25" x14ac:dyDescent="0.3">
      <c r="A62" s="4"/>
      <c r="B62" s="16"/>
      <c r="C62" s="19"/>
      <c r="D62" s="28"/>
      <c r="E62" s="3"/>
      <c r="F62" s="65"/>
      <c r="G62" s="65"/>
      <c r="H62" s="65"/>
      <c r="I62" s="66"/>
      <c r="J62" s="66"/>
      <c r="K62" s="66"/>
      <c r="L62" s="65"/>
      <c r="M62" s="65"/>
      <c r="N62" s="65"/>
      <c r="O62" s="66"/>
      <c r="P62" s="66"/>
      <c r="Q62" s="66"/>
      <c r="R62" s="65"/>
      <c r="S62" s="65"/>
      <c r="T62" s="65"/>
      <c r="U62" s="66"/>
      <c r="V62" s="66"/>
      <c r="W62" s="66"/>
      <c r="X62" s="65"/>
      <c r="Y62" s="65"/>
      <c r="Z62" s="65"/>
      <c r="AA62" s="66"/>
      <c r="AB62" s="66"/>
      <c r="AC62" s="66"/>
      <c r="AD62" s="65"/>
      <c r="AE62" s="65"/>
      <c r="AF62" s="65"/>
      <c r="AG62" s="66"/>
      <c r="AH62" s="66"/>
      <c r="AI62" s="66"/>
      <c r="AJ62" s="65"/>
      <c r="AK62" s="65"/>
      <c r="AL62" s="65"/>
      <c r="AM62" s="66"/>
      <c r="AN62" s="66"/>
      <c r="AO62" s="66"/>
    </row>
    <row r="63" spans="1:41" s="58" customFormat="1" ht="17.25" x14ac:dyDescent="0.3">
      <c r="A63" s="70" t="s">
        <v>71</v>
      </c>
      <c r="B63" s="16"/>
      <c r="C63" s="19"/>
      <c r="D63" s="28"/>
      <c r="E63" s="3"/>
      <c r="F63" s="65"/>
      <c r="G63" s="65"/>
      <c r="H63" s="65"/>
      <c r="I63" s="66"/>
      <c r="J63" s="66"/>
      <c r="K63" s="66"/>
      <c r="L63" s="65"/>
      <c r="M63" s="65"/>
      <c r="N63" s="65"/>
      <c r="O63" s="66"/>
      <c r="P63" s="66"/>
      <c r="Q63" s="66"/>
      <c r="R63" s="65"/>
      <c r="S63" s="65"/>
      <c r="T63" s="65"/>
      <c r="U63" s="66"/>
      <c r="V63" s="66"/>
      <c r="W63" s="66"/>
      <c r="X63" s="65"/>
      <c r="Y63" s="65"/>
      <c r="Z63" s="65"/>
      <c r="AA63" s="66"/>
      <c r="AB63" s="66"/>
      <c r="AC63" s="66"/>
      <c r="AD63" s="65"/>
      <c r="AE63" s="65"/>
      <c r="AF63" s="65"/>
      <c r="AG63" s="66"/>
      <c r="AH63" s="66"/>
      <c r="AI63" s="66"/>
      <c r="AJ63" s="65"/>
      <c r="AK63" s="65"/>
      <c r="AL63" s="65"/>
      <c r="AM63" s="66"/>
      <c r="AN63" s="66"/>
      <c r="AO63" s="66"/>
    </row>
    <row r="64" spans="1:41" s="58" customFormat="1" ht="17.25" x14ac:dyDescent="0.3">
      <c r="A64" s="68" t="s">
        <v>72</v>
      </c>
      <c r="B64" s="16"/>
      <c r="C64" s="14">
        <f>H64+K64+N64+Q64+T64+W64+Z64+AC64+AF64+AI64+AL64+AO64</f>
        <v>0</v>
      </c>
      <c r="D64" s="28"/>
      <c r="E64" s="3"/>
      <c r="F64" s="65">
        <v>0</v>
      </c>
      <c r="G64" s="65"/>
      <c r="H64" s="65">
        <f t="shared" si="27"/>
        <v>0</v>
      </c>
      <c r="I64" s="66">
        <v>0</v>
      </c>
      <c r="J64" s="66"/>
      <c r="K64" s="66"/>
      <c r="L64" s="65">
        <v>0</v>
      </c>
      <c r="M64" s="65"/>
      <c r="N64" s="65"/>
      <c r="O64" s="66">
        <v>0</v>
      </c>
      <c r="P64" s="66"/>
      <c r="Q64" s="66"/>
      <c r="R64" s="65">
        <v>0</v>
      </c>
      <c r="S64" s="65"/>
      <c r="T64" s="65"/>
      <c r="U64" s="66"/>
      <c r="V64" s="66"/>
      <c r="W64" s="66"/>
      <c r="X64" s="65"/>
      <c r="Y64" s="65"/>
      <c r="Z64" s="65"/>
      <c r="AA64" s="66"/>
      <c r="AB64" s="66"/>
      <c r="AC64" s="66"/>
      <c r="AD64" s="65"/>
      <c r="AE64" s="65"/>
      <c r="AF64" s="65"/>
      <c r="AG64" s="66"/>
      <c r="AH64" s="66"/>
      <c r="AI64" s="66"/>
      <c r="AJ64" s="65"/>
      <c r="AK64" s="65"/>
      <c r="AL64" s="65"/>
      <c r="AM64" s="66"/>
      <c r="AN64" s="66"/>
      <c r="AO64" s="66"/>
    </row>
    <row r="65" spans="1:41" s="58" customFormat="1" ht="17.25" x14ac:dyDescent="0.3">
      <c r="A65" s="71" t="s">
        <v>73</v>
      </c>
      <c r="B65" s="16"/>
      <c r="C65" s="17">
        <f>SUM(C63:C64)</f>
        <v>0</v>
      </c>
      <c r="D65" s="28"/>
      <c r="E65" s="3"/>
      <c r="F65" s="17">
        <f>SUM(F63:F64)</f>
        <v>0</v>
      </c>
      <c r="G65" s="17">
        <f t="shared" ref="G65:AO65" si="40">SUM(G63:G64)</f>
        <v>0</v>
      </c>
      <c r="H65" s="17">
        <f t="shared" si="40"/>
        <v>0</v>
      </c>
      <c r="I65" s="17">
        <f t="shared" si="40"/>
        <v>0</v>
      </c>
      <c r="J65" s="17">
        <f t="shared" si="40"/>
        <v>0</v>
      </c>
      <c r="K65" s="17">
        <f t="shared" si="40"/>
        <v>0</v>
      </c>
      <c r="L65" s="17">
        <f t="shared" si="40"/>
        <v>0</v>
      </c>
      <c r="M65" s="17">
        <f t="shared" si="40"/>
        <v>0</v>
      </c>
      <c r="N65" s="17">
        <f t="shared" si="40"/>
        <v>0</v>
      </c>
      <c r="O65" s="17">
        <f t="shared" si="40"/>
        <v>0</v>
      </c>
      <c r="P65" s="17">
        <f t="shared" si="40"/>
        <v>0</v>
      </c>
      <c r="Q65" s="17">
        <f t="shared" si="40"/>
        <v>0</v>
      </c>
      <c r="R65" s="17">
        <f t="shared" si="40"/>
        <v>0</v>
      </c>
      <c r="S65" s="17">
        <f t="shared" si="40"/>
        <v>0</v>
      </c>
      <c r="T65" s="17">
        <f t="shared" si="40"/>
        <v>0</v>
      </c>
      <c r="U65" s="17">
        <f t="shared" si="40"/>
        <v>0</v>
      </c>
      <c r="V65" s="17">
        <f t="shared" si="40"/>
        <v>0</v>
      </c>
      <c r="W65" s="17">
        <f t="shared" si="40"/>
        <v>0</v>
      </c>
      <c r="X65" s="17">
        <f t="shared" si="40"/>
        <v>0</v>
      </c>
      <c r="Y65" s="17">
        <f t="shared" si="40"/>
        <v>0</v>
      </c>
      <c r="Z65" s="17">
        <f t="shared" si="40"/>
        <v>0</v>
      </c>
      <c r="AA65" s="17">
        <f t="shared" si="40"/>
        <v>0</v>
      </c>
      <c r="AB65" s="17">
        <f t="shared" si="40"/>
        <v>0</v>
      </c>
      <c r="AC65" s="17">
        <f t="shared" si="40"/>
        <v>0</v>
      </c>
      <c r="AD65" s="17">
        <f t="shared" si="40"/>
        <v>0</v>
      </c>
      <c r="AE65" s="17">
        <f t="shared" si="40"/>
        <v>0</v>
      </c>
      <c r="AF65" s="17">
        <f t="shared" si="40"/>
        <v>0</v>
      </c>
      <c r="AG65" s="17">
        <f t="shared" si="40"/>
        <v>0</v>
      </c>
      <c r="AH65" s="17">
        <f t="shared" si="40"/>
        <v>0</v>
      </c>
      <c r="AI65" s="17">
        <f t="shared" si="40"/>
        <v>0</v>
      </c>
      <c r="AJ65" s="17">
        <f t="shared" si="40"/>
        <v>0</v>
      </c>
      <c r="AK65" s="17">
        <f t="shared" si="40"/>
        <v>0</v>
      </c>
      <c r="AL65" s="17">
        <f t="shared" si="40"/>
        <v>0</v>
      </c>
      <c r="AM65" s="17">
        <f t="shared" si="40"/>
        <v>0</v>
      </c>
      <c r="AN65" s="17">
        <f t="shared" si="40"/>
        <v>0</v>
      </c>
      <c r="AO65" s="17">
        <f t="shared" si="40"/>
        <v>0</v>
      </c>
    </row>
    <row r="66" spans="1:41" s="58" customFormat="1" ht="18.95" customHeight="1" x14ac:dyDescent="0.3">
      <c r="A66" s="70" t="s">
        <v>68</v>
      </c>
      <c r="B66" s="16"/>
      <c r="C66" s="17">
        <f>C61+C65</f>
        <v>3449400</v>
      </c>
      <c r="D66" s="28"/>
      <c r="E66" s="3"/>
      <c r="F66" s="17">
        <f>F61+F65</f>
        <v>3449400</v>
      </c>
      <c r="G66" s="17">
        <f t="shared" ref="G66:AO66" si="41">G61+G65</f>
        <v>0</v>
      </c>
      <c r="H66" s="17">
        <f t="shared" si="41"/>
        <v>3449400</v>
      </c>
      <c r="I66" s="17">
        <f t="shared" si="41"/>
        <v>0</v>
      </c>
      <c r="J66" s="17">
        <f t="shared" si="41"/>
        <v>0</v>
      </c>
      <c r="K66" s="17">
        <f t="shared" si="41"/>
        <v>0</v>
      </c>
      <c r="L66" s="17">
        <f t="shared" si="41"/>
        <v>0</v>
      </c>
      <c r="M66" s="17">
        <f t="shared" si="41"/>
        <v>0</v>
      </c>
      <c r="N66" s="17">
        <f t="shared" si="41"/>
        <v>0</v>
      </c>
      <c r="O66" s="17">
        <f t="shared" si="41"/>
        <v>0</v>
      </c>
      <c r="P66" s="17">
        <f t="shared" si="41"/>
        <v>0</v>
      </c>
      <c r="Q66" s="17">
        <f t="shared" si="41"/>
        <v>0</v>
      </c>
      <c r="R66" s="17">
        <f t="shared" si="41"/>
        <v>0</v>
      </c>
      <c r="S66" s="17">
        <f t="shared" si="41"/>
        <v>0</v>
      </c>
      <c r="T66" s="17">
        <f t="shared" si="41"/>
        <v>0</v>
      </c>
      <c r="U66" s="17">
        <f t="shared" si="41"/>
        <v>0</v>
      </c>
      <c r="V66" s="17">
        <f t="shared" si="41"/>
        <v>0</v>
      </c>
      <c r="W66" s="17">
        <f t="shared" si="41"/>
        <v>0</v>
      </c>
      <c r="X66" s="17">
        <f t="shared" si="41"/>
        <v>0</v>
      </c>
      <c r="Y66" s="17">
        <f t="shared" si="41"/>
        <v>0</v>
      </c>
      <c r="Z66" s="17">
        <f t="shared" si="41"/>
        <v>0</v>
      </c>
      <c r="AA66" s="17">
        <f t="shared" si="41"/>
        <v>0</v>
      </c>
      <c r="AB66" s="17">
        <f t="shared" si="41"/>
        <v>0</v>
      </c>
      <c r="AC66" s="17">
        <f t="shared" si="41"/>
        <v>0</v>
      </c>
      <c r="AD66" s="17">
        <f t="shared" si="41"/>
        <v>0</v>
      </c>
      <c r="AE66" s="17">
        <f t="shared" si="41"/>
        <v>0</v>
      </c>
      <c r="AF66" s="17">
        <f t="shared" si="41"/>
        <v>0</v>
      </c>
      <c r="AG66" s="17">
        <f t="shared" si="41"/>
        <v>0</v>
      </c>
      <c r="AH66" s="17">
        <f t="shared" si="41"/>
        <v>0</v>
      </c>
      <c r="AI66" s="17">
        <f t="shared" si="41"/>
        <v>0</v>
      </c>
      <c r="AJ66" s="17">
        <f t="shared" si="41"/>
        <v>0</v>
      </c>
      <c r="AK66" s="17">
        <f t="shared" si="41"/>
        <v>0</v>
      </c>
      <c r="AL66" s="17">
        <f t="shared" si="41"/>
        <v>0</v>
      </c>
      <c r="AM66" s="17">
        <f t="shared" si="41"/>
        <v>0</v>
      </c>
      <c r="AN66" s="17">
        <f t="shared" si="41"/>
        <v>0</v>
      </c>
      <c r="AO66" s="17">
        <f t="shared" si="41"/>
        <v>0</v>
      </c>
    </row>
    <row r="67" spans="1:41" s="58" customFormat="1" ht="18.95" customHeight="1" x14ac:dyDescent="0.3">
      <c r="A67" s="15"/>
      <c r="B67" s="16"/>
      <c r="C67" s="28"/>
      <c r="D67" s="28"/>
      <c r="E67" s="3"/>
      <c r="F67" s="65"/>
      <c r="G67" s="65"/>
      <c r="H67" s="65"/>
      <c r="I67" s="66"/>
      <c r="J67" s="66"/>
      <c r="K67" s="66"/>
      <c r="L67" s="65"/>
      <c r="M67" s="65"/>
      <c r="N67" s="65"/>
      <c r="O67" s="66"/>
      <c r="P67" s="66"/>
      <c r="Q67" s="66"/>
      <c r="R67" s="65"/>
      <c r="S67" s="65"/>
      <c r="T67" s="65"/>
      <c r="U67" s="66"/>
      <c r="V67" s="66"/>
      <c r="W67" s="66"/>
      <c r="X67" s="65"/>
      <c r="Y67" s="65"/>
      <c r="Z67" s="65"/>
      <c r="AA67" s="66"/>
      <c r="AB67" s="66"/>
      <c r="AC67" s="66"/>
      <c r="AD67" s="65"/>
      <c r="AE67" s="65"/>
      <c r="AF67" s="65"/>
      <c r="AG67" s="66"/>
      <c r="AH67" s="66"/>
      <c r="AI67" s="66"/>
      <c r="AJ67" s="65"/>
      <c r="AK67" s="65"/>
      <c r="AL67" s="65"/>
      <c r="AM67" s="66"/>
      <c r="AN67" s="66"/>
      <c r="AO67" s="66"/>
    </row>
    <row r="68" spans="1:41" s="58" customFormat="1" ht="17.25" x14ac:dyDescent="0.3">
      <c r="A68" s="70" t="s">
        <v>74</v>
      </c>
      <c r="B68" s="16"/>
      <c r="C68" s="43"/>
      <c r="D68" s="44"/>
      <c r="E68" s="3"/>
      <c r="F68" s="65"/>
      <c r="G68" s="65"/>
      <c r="H68" s="65"/>
      <c r="I68" s="66"/>
      <c r="J68" s="66"/>
      <c r="K68" s="66"/>
      <c r="L68" s="65"/>
      <c r="M68" s="65"/>
      <c r="N68" s="65"/>
      <c r="O68" s="66"/>
      <c r="P68" s="66"/>
      <c r="Q68" s="66"/>
      <c r="R68" s="65"/>
      <c r="S68" s="65"/>
      <c r="T68" s="65"/>
      <c r="U68" s="66"/>
      <c r="V68" s="66"/>
      <c r="W68" s="66"/>
      <c r="X68" s="65"/>
      <c r="Y68" s="65"/>
      <c r="Z68" s="65"/>
      <c r="AA68" s="66"/>
      <c r="AB68" s="66"/>
      <c r="AC68" s="66"/>
      <c r="AD68" s="65"/>
      <c r="AE68" s="65"/>
      <c r="AF68" s="65"/>
      <c r="AG68" s="66"/>
      <c r="AH68" s="66"/>
      <c r="AI68" s="66"/>
      <c r="AJ68" s="65"/>
      <c r="AK68" s="65"/>
      <c r="AL68" s="65"/>
      <c r="AM68" s="66"/>
      <c r="AN68" s="66"/>
      <c r="AO68" s="66"/>
    </row>
    <row r="69" spans="1:41" s="58" customFormat="1" ht="17.25" x14ac:dyDescent="0.3">
      <c r="A69" s="15" t="s">
        <v>21</v>
      </c>
      <c r="B69" s="16"/>
      <c r="C69" s="14">
        <f t="shared" ref="C69" si="42">H69+K69+N69+Q69+T69+W69+Z69+AC69+AF69+AI69+AL69</f>
        <v>0</v>
      </c>
      <c r="D69" s="45"/>
      <c r="E69" s="3"/>
      <c r="F69" s="132">
        <v>0</v>
      </c>
      <c r="G69" s="65"/>
      <c r="H69" s="65">
        <f t="shared" si="27"/>
        <v>0</v>
      </c>
      <c r="I69" s="132">
        <v>0</v>
      </c>
      <c r="J69" s="66"/>
      <c r="K69" s="66">
        <f t="shared" si="28"/>
        <v>0</v>
      </c>
      <c r="L69" s="65">
        <v>0</v>
      </c>
      <c r="M69" s="65"/>
      <c r="N69" s="65">
        <f t="shared" si="29"/>
        <v>0</v>
      </c>
      <c r="O69" s="132">
        <v>0</v>
      </c>
      <c r="P69" s="66"/>
      <c r="Q69" s="66">
        <f t="shared" si="30"/>
        <v>0</v>
      </c>
      <c r="R69" s="132">
        <v>0</v>
      </c>
      <c r="S69" s="65"/>
      <c r="T69" s="65">
        <f t="shared" si="31"/>
        <v>0</v>
      </c>
      <c r="U69" s="132"/>
      <c r="V69" s="66"/>
      <c r="W69" s="66">
        <f t="shared" si="32"/>
        <v>0</v>
      </c>
      <c r="X69" s="132"/>
      <c r="Y69" s="65"/>
      <c r="Z69" s="65">
        <f t="shared" si="33"/>
        <v>0</v>
      </c>
      <c r="AA69" s="132"/>
      <c r="AB69" s="66"/>
      <c r="AC69" s="66">
        <f t="shared" si="34"/>
        <v>0</v>
      </c>
      <c r="AD69" s="65"/>
      <c r="AE69" s="65"/>
      <c r="AF69" s="65">
        <f t="shared" si="35"/>
        <v>0</v>
      </c>
      <c r="AG69" s="66"/>
      <c r="AH69" s="66"/>
      <c r="AI69" s="66">
        <f t="shared" si="36"/>
        <v>0</v>
      </c>
      <c r="AJ69" s="65"/>
      <c r="AK69" s="65"/>
      <c r="AL69" s="65">
        <f t="shared" si="37"/>
        <v>0</v>
      </c>
      <c r="AM69" s="66"/>
      <c r="AN69" s="66"/>
      <c r="AO69" s="66">
        <f t="shared" ref="AO69:AO72" si="43">AM69+AN69</f>
        <v>0</v>
      </c>
    </row>
    <row r="70" spans="1:41" s="58" customFormat="1" ht="17.25" x14ac:dyDescent="0.3">
      <c r="A70" s="15" t="s">
        <v>22</v>
      </c>
      <c r="B70" s="16"/>
      <c r="C70" s="14">
        <f>H70+K70+N70+Q70+T70+W70+Z70+AC70+AF70+AI70+AL70+AO70</f>
        <v>75608</v>
      </c>
      <c r="D70" s="24"/>
      <c r="E70" s="3"/>
      <c r="F70" s="132">
        <v>65608</v>
      </c>
      <c r="G70" s="65"/>
      <c r="H70" s="65">
        <f t="shared" si="27"/>
        <v>65608</v>
      </c>
      <c r="I70" s="132">
        <v>9000</v>
      </c>
      <c r="J70" s="66"/>
      <c r="K70" s="66">
        <f t="shared" si="28"/>
        <v>9000</v>
      </c>
      <c r="L70" s="65">
        <v>0</v>
      </c>
      <c r="M70" s="65"/>
      <c r="N70" s="65">
        <f t="shared" si="29"/>
        <v>0</v>
      </c>
      <c r="O70" s="132">
        <v>0</v>
      </c>
      <c r="P70" s="66"/>
      <c r="Q70" s="66">
        <f t="shared" si="30"/>
        <v>0</v>
      </c>
      <c r="R70" s="132">
        <v>1000</v>
      </c>
      <c r="S70" s="65"/>
      <c r="T70" s="65">
        <f t="shared" si="31"/>
        <v>1000</v>
      </c>
      <c r="U70" s="132"/>
      <c r="V70" s="66"/>
      <c r="W70" s="66">
        <f t="shared" si="32"/>
        <v>0</v>
      </c>
      <c r="X70" s="132"/>
      <c r="Y70" s="65"/>
      <c r="Z70" s="65">
        <f t="shared" si="33"/>
        <v>0</v>
      </c>
      <c r="AA70" s="132">
        <v>0</v>
      </c>
      <c r="AB70" s="66"/>
      <c r="AC70" s="66">
        <f t="shared" si="34"/>
        <v>0</v>
      </c>
      <c r="AD70" s="65"/>
      <c r="AE70" s="65"/>
      <c r="AF70" s="65">
        <f t="shared" si="35"/>
        <v>0</v>
      </c>
      <c r="AG70" s="66"/>
      <c r="AH70" s="66"/>
      <c r="AI70" s="66">
        <f t="shared" si="36"/>
        <v>0</v>
      </c>
      <c r="AJ70" s="65"/>
      <c r="AK70" s="65"/>
      <c r="AL70" s="65">
        <f t="shared" si="37"/>
        <v>0</v>
      </c>
      <c r="AM70" s="66"/>
      <c r="AN70" s="66"/>
      <c r="AO70" s="66">
        <f t="shared" si="43"/>
        <v>0</v>
      </c>
    </row>
    <row r="71" spans="1:41" s="58" customFormat="1" ht="17.25" x14ac:dyDescent="0.3">
      <c r="A71" s="15" t="s">
        <v>23</v>
      </c>
      <c r="B71" s="16"/>
      <c r="C71" s="14">
        <f>H71+K71+N71+Q71+T71+W71+Z71+AC71+AF71+AI71+AL71+AO71</f>
        <v>1958</v>
      </c>
      <c r="D71" s="24"/>
      <c r="E71" s="3"/>
      <c r="F71" s="132">
        <v>97631</v>
      </c>
      <c r="G71" s="120">
        <v>-97631</v>
      </c>
      <c r="H71" s="65">
        <f t="shared" si="27"/>
        <v>0</v>
      </c>
      <c r="I71" s="132">
        <v>0</v>
      </c>
      <c r="J71" s="120">
        <v>0</v>
      </c>
      <c r="K71" s="66">
        <f t="shared" si="28"/>
        <v>0</v>
      </c>
      <c r="L71" s="65">
        <v>0</v>
      </c>
      <c r="M71" s="65"/>
      <c r="N71" s="65">
        <f t="shared" si="29"/>
        <v>0</v>
      </c>
      <c r="O71" s="132">
        <v>443232</v>
      </c>
      <c r="P71" s="120">
        <f>-403000-40232</f>
        <v>-443232</v>
      </c>
      <c r="Q71" s="66">
        <f t="shared" si="30"/>
        <v>0</v>
      </c>
      <c r="R71" s="132">
        <v>0</v>
      </c>
      <c r="S71" s="65"/>
      <c r="T71" s="65">
        <f t="shared" si="31"/>
        <v>0</v>
      </c>
      <c r="U71" s="132">
        <v>1958</v>
      </c>
      <c r="V71" s="66"/>
      <c r="W71" s="66">
        <f t="shared" si="32"/>
        <v>1958</v>
      </c>
      <c r="X71" s="132"/>
      <c r="Y71" s="65"/>
      <c r="Z71" s="65">
        <f t="shared" si="33"/>
        <v>0</v>
      </c>
      <c r="AA71" s="132"/>
      <c r="AB71" s="66"/>
      <c r="AC71" s="66">
        <f t="shared" si="34"/>
        <v>0</v>
      </c>
      <c r="AD71" s="65"/>
      <c r="AE71" s="65"/>
      <c r="AF71" s="65">
        <f t="shared" si="35"/>
        <v>0</v>
      </c>
      <c r="AG71" s="66"/>
      <c r="AH71" s="66"/>
      <c r="AI71" s="66">
        <f t="shared" si="36"/>
        <v>0</v>
      </c>
      <c r="AJ71" s="65"/>
      <c r="AK71" s="65"/>
      <c r="AL71" s="65">
        <f t="shared" si="37"/>
        <v>0</v>
      </c>
      <c r="AM71" s="66"/>
      <c r="AN71" s="66"/>
      <c r="AO71" s="66">
        <f t="shared" si="43"/>
        <v>0</v>
      </c>
    </row>
    <row r="72" spans="1:41" s="58" customFormat="1" ht="17.25" x14ac:dyDescent="0.3">
      <c r="A72" s="15" t="s">
        <v>24</v>
      </c>
      <c r="B72" s="16"/>
      <c r="C72" s="14">
        <f>H72+K72+N72+Q72+T72+W72+Z72+AC72+AF72+AI72+AL72+AO72</f>
        <v>2403289</v>
      </c>
      <c r="D72" s="24"/>
      <c r="E72" s="3"/>
      <c r="F72" s="132">
        <v>377608</v>
      </c>
      <c r="G72" s="65"/>
      <c r="H72" s="65">
        <f t="shared" si="27"/>
        <v>377608</v>
      </c>
      <c r="I72" s="132">
        <v>407616</v>
      </c>
      <c r="J72" s="66"/>
      <c r="K72" s="66">
        <f t="shared" si="28"/>
        <v>407616</v>
      </c>
      <c r="L72" s="65">
        <v>0</v>
      </c>
      <c r="M72" s="65"/>
      <c r="N72" s="65">
        <f t="shared" si="29"/>
        <v>0</v>
      </c>
      <c r="O72" s="132">
        <v>139558</v>
      </c>
      <c r="P72" s="66"/>
      <c r="Q72" s="66">
        <f t="shared" si="30"/>
        <v>139558</v>
      </c>
      <c r="R72" s="132">
        <v>1325725</v>
      </c>
      <c r="S72" s="65"/>
      <c r="T72" s="65">
        <f t="shared" si="31"/>
        <v>1325725</v>
      </c>
      <c r="U72" s="132">
        <v>54423</v>
      </c>
      <c r="V72" s="66"/>
      <c r="W72" s="66">
        <f t="shared" si="32"/>
        <v>54423</v>
      </c>
      <c r="X72" s="132">
        <v>64995</v>
      </c>
      <c r="Y72" s="65"/>
      <c r="Z72" s="65">
        <f t="shared" si="33"/>
        <v>64995</v>
      </c>
      <c r="AA72" s="132">
        <v>33364</v>
      </c>
      <c r="AB72" s="66"/>
      <c r="AC72" s="66">
        <f t="shared" si="34"/>
        <v>33364</v>
      </c>
      <c r="AD72" s="65"/>
      <c r="AE72" s="65"/>
      <c r="AF72" s="65">
        <f t="shared" si="35"/>
        <v>0</v>
      </c>
      <c r="AG72" s="66"/>
      <c r="AH72" s="66"/>
      <c r="AI72" s="66">
        <f t="shared" si="36"/>
        <v>0</v>
      </c>
      <c r="AJ72" s="65"/>
      <c r="AK72" s="65"/>
      <c r="AL72" s="65">
        <f t="shared" si="37"/>
        <v>0</v>
      </c>
      <c r="AM72" s="66"/>
      <c r="AN72" s="66"/>
      <c r="AO72" s="66">
        <f t="shared" si="43"/>
        <v>0</v>
      </c>
    </row>
    <row r="73" spans="1:41" s="58" customFormat="1" ht="18.95" customHeight="1" x14ac:dyDescent="0.3">
      <c r="A73" s="4" t="s">
        <v>25</v>
      </c>
      <c r="B73" s="16"/>
      <c r="C73" s="17">
        <f>SUM(C69:C72)</f>
        <v>2480855</v>
      </c>
      <c r="D73" s="28"/>
      <c r="E73" s="3"/>
      <c r="F73" s="17">
        <f>SUM(F69:F72)</f>
        <v>540847</v>
      </c>
      <c r="G73" s="17">
        <f t="shared" ref="G73:AO73" si="44">SUM(G69:G72)</f>
        <v>-97631</v>
      </c>
      <c r="H73" s="17">
        <f t="shared" si="44"/>
        <v>443216</v>
      </c>
      <c r="I73" s="17">
        <f t="shared" si="44"/>
        <v>416616</v>
      </c>
      <c r="J73" s="17">
        <f t="shared" si="44"/>
        <v>0</v>
      </c>
      <c r="K73" s="17">
        <f t="shared" si="44"/>
        <v>416616</v>
      </c>
      <c r="L73" s="17">
        <f t="shared" si="44"/>
        <v>0</v>
      </c>
      <c r="M73" s="17">
        <f t="shared" si="44"/>
        <v>0</v>
      </c>
      <c r="N73" s="17">
        <f t="shared" si="44"/>
        <v>0</v>
      </c>
      <c r="O73" s="17">
        <f t="shared" si="44"/>
        <v>582790</v>
      </c>
      <c r="P73" s="17">
        <f t="shared" si="44"/>
        <v>-443232</v>
      </c>
      <c r="Q73" s="17">
        <f t="shared" si="44"/>
        <v>139558</v>
      </c>
      <c r="R73" s="17">
        <f t="shared" si="44"/>
        <v>1326725</v>
      </c>
      <c r="S73" s="17">
        <f t="shared" si="44"/>
        <v>0</v>
      </c>
      <c r="T73" s="17">
        <f t="shared" si="44"/>
        <v>1326725</v>
      </c>
      <c r="U73" s="17">
        <f t="shared" si="44"/>
        <v>56381</v>
      </c>
      <c r="V73" s="17">
        <f t="shared" si="44"/>
        <v>0</v>
      </c>
      <c r="W73" s="17">
        <f t="shared" si="44"/>
        <v>56381</v>
      </c>
      <c r="X73" s="17">
        <f t="shared" si="44"/>
        <v>64995</v>
      </c>
      <c r="Y73" s="17">
        <f t="shared" si="44"/>
        <v>0</v>
      </c>
      <c r="Z73" s="17">
        <f t="shared" si="44"/>
        <v>64995</v>
      </c>
      <c r="AA73" s="17">
        <f t="shared" si="44"/>
        <v>33364</v>
      </c>
      <c r="AB73" s="17">
        <f t="shared" si="44"/>
        <v>0</v>
      </c>
      <c r="AC73" s="17">
        <f t="shared" si="44"/>
        <v>33364</v>
      </c>
      <c r="AD73" s="17">
        <f t="shared" si="44"/>
        <v>0</v>
      </c>
      <c r="AE73" s="17">
        <f t="shared" si="44"/>
        <v>0</v>
      </c>
      <c r="AF73" s="17">
        <f t="shared" si="44"/>
        <v>0</v>
      </c>
      <c r="AG73" s="17">
        <f t="shared" si="44"/>
        <v>0</v>
      </c>
      <c r="AH73" s="17">
        <f t="shared" si="44"/>
        <v>0</v>
      </c>
      <c r="AI73" s="17">
        <f t="shared" si="44"/>
        <v>0</v>
      </c>
      <c r="AJ73" s="17">
        <f t="shared" si="44"/>
        <v>0</v>
      </c>
      <c r="AK73" s="17">
        <f t="shared" si="44"/>
        <v>0</v>
      </c>
      <c r="AL73" s="17">
        <f t="shared" si="44"/>
        <v>0</v>
      </c>
      <c r="AM73" s="17">
        <f t="shared" si="44"/>
        <v>0</v>
      </c>
      <c r="AN73" s="17">
        <f t="shared" si="44"/>
        <v>0</v>
      </c>
      <c r="AO73" s="17">
        <f t="shared" si="44"/>
        <v>0</v>
      </c>
    </row>
    <row r="74" spans="1:41" s="58" customFormat="1" ht="18.95" customHeight="1" thickBot="1" x14ac:dyDescent="0.35">
      <c r="A74" s="70" t="s">
        <v>69</v>
      </c>
      <c r="B74" s="16"/>
      <c r="C74" s="17">
        <f>C66+C73</f>
        <v>5930255</v>
      </c>
      <c r="D74" s="28"/>
      <c r="E74" s="3"/>
      <c r="F74" s="17">
        <f t="shared" ref="F74:AO74" si="45">F66+F73</f>
        <v>3990247</v>
      </c>
      <c r="G74" s="17">
        <f t="shared" si="45"/>
        <v>-97631</v>
      </c>
      <c r="H74" s="17">
        <f t="shared" si="45"/>
        <v>3892616</v>
      </c>
      <c r="I74" s="17">
        <f t="shared" si="45"/>
        <v>416616</v>
      </c>
      <c r="J74" s="17">
        <f t="shared" si="45"/>
        <v>0</v>
      </c>
      <c r="K74" s="17">
        <f t="shared" si="45"/>
        <v>416616</v>
      </c>
      <c r="L74" s="17">
        <f t="shared" si="45"/>
        <v>0</v>
      </c>
      <c r="M74" s="17">
        <f t="shared" si="45"/>
        <v>0</v>
      </c>
      <c r="N74" s="17">
        <f t="shared" si="45"/>
        <v>0</v>
      </c>
      <c r="O74" s="17">
        <f t="shared" si="45"/>
        <v>582790</v>
      </c>
      <c r="P74" s="17">
        <f t="shared" si="45"/>
        <v>-443232</v>
      </c>
      <c r="Q74" s="17">
        <f t="shared" si="45"/>
        <v>139558</v>
      </c>
      <c r="R74" s="17">
        <f t="shared" si="45"/>
        <v>1326725</v>
      </c>
      <c r="S74" s="17">
        <f t="shared" si="45"/>
        <v>0</v>
      </c>
      <c r="T74" s="17">
        <f t="shared" si="45"/>
        <v>1326725</v>
      </c>
      <c r="U74" s="17">
        <f t="shared" si="45"/>
        <v>56381</v>
      </c>
      <c r="V74" s="17">
        <f t="shared" si="45"/>
        <v>0</v>
      </c>
      <c r="W74" s="17">
        <f t="shared" si="45"/>
        <v>56381</v>
      </c>
      <c r="X74" s="17">
        <f t="shared" si="45"/>
        <v>64995</v>
      </c>
      <c r="Y74" s="17">
        <f t="shared" si="45"/>
        <v>0</v>
      </c>
      <c r="Z74" s="17">
        <f t="shared" si="45"/>
        <v>64995</v>
      </c>
      <c r="AA74" s="17">
        <f t="shared" si="45"/>
        <v>33364</v>
      </c>
      <c r="AB74" s="17">
        <f t="shared" si="45"/>
        <v>0</v>
      </c>
      <c r="AC74" s="17">
        <f t="shared" si="45"/>
        <v>33364</v>
      </c>
      <c r="AD74" s="17">
        <f t="shared" si="45"/>
        <v>0</v>
      </c>
      <c r="AE74" s="17">
        <f t="shared" si="45"/>
        <v>0</v>
      </c>
      <c r="AF74" s="17">
        <f t="shared" si="45"/>
        <v>0</v>
      </c>
      <c r="AG74" s="17">
        <f t="shared" si="45"/>
        <v>0</v>
      </c>
      <c r="AH74" s="17">
        <f t="shared" si="45"/>
        <v>0</v>
      </c>
      <c r="AI74" s="17">
        <f t="shared" si="45"/>
        <v>0</v>
      </c>
      <c r="AJ74" s="17">
        <f t="shared" si="45"/>
        <v>0</v>
      </c>
      <c r="AK74" s="17">
        <f t="shared" si="45"/>
        <v>0</v>
      </c>
      <c r="AL74" s="17">
        <f t="shared" si="45"/>
        <v>0</v>
      </c>
      <c r="AM74" s="17">
        <f t="shared" si="45"/>
        <v>0</v>
      </c>
      <c r="AN74" s="17">
        <f t="shared" si="45"/>
        <v>0</v>
      </c>
      <c r="AO74" s="17">
        <f t="shared" si="45"/>
        <v>0</v>
      </c>
    </row>
    <row r="75" spans="1:41" s="58" customFormat="1" ht="18" thickTop="1" x14ac:dyDescent="0.3">
      <c r="A75" s="15" t="s">
        <v>1</v>
      </c>
      <c r="B75" s="16"/>
      <c r="C75" s="46"/>
      <c r="D75" s="24"/>
      <c r="E75" s="3"/>
      <c r="F75" s="65"/>
      <c r="G75" s="65"/>
      <c r="H75" s="65"/>
      <c r="I75" s="66"/>
      <c r="J75" s="66"/>
      <c r="K75" s="66"/>
      <c r="L75" s="65"/>
      <c r="M75" s="65"/>
      <c r="N75" s="65"/>
      <c r="O75" s="66"/>
      <c r="P75" s="66"/>
      <c r="Q75" s="66"/>
      <c r="R75" s="65"/>
      <c r="S75" s="65"/>
      <c r="T75" s="65"/>
      <c r="U75" s="66"/>
      <c r="V75" s="66"/>
      <c r="W75" s="66"/>
      <c r="X75" s="65"/>
      <c r="Y75" s="65"/>
      <c r="Z75" s="65"/>
      <c r="AA75" s="66"/>
      <c r="AB75" s="66"/>
      <c r="AC75" s="66"/>
      <c r="AD75" s="65"/>
      <c r="AE75" s="65"/>
      <c r="AF75" s="65"/>
      <c r="AG75" s="66"/>
      <c r="AH75" s="66"/>
      <c r="AI75" s="66"/>
      <c r="AJ75" s="65"/>
      <c r="AK75" s="65"/>
      <c r="AL75" s="65"/>
      <c r="AM75" s="66"/>
      <c r="AN75" s="66"/>
      <c r="AO75" s="66"/>
    </row>
    <row r="76" spans="1:41" s="58" customFormat="1" ht="17.25" x14ac:dyDescent="0.3">
      <c r="A76" s="4" t="s">
        <v>26</v>
      </c>
      <c r="B76" s="16"/>
      <c r="C76" s="19"/>
      <c r="D76" s="24"/>
      <c r="E76" s="3"/>
      <c r="F76" s="65"/>
      <c r="G76" s="65"/>
      <c r="H76" s="65"/>
      <c r="I76" s="66"/>
      <c r="J76" s="66"/>
      <c r="K76" s="66"/>
      <c r="L76" s="65"/>
      <c r="M76" s="65"/>
      <c r="N76" s="65"/>
      <c r="O76" s="66"/>
      <c r="P76" s="66"/>
      <c r="Q76" s="66"/>
      <c r="R76" s="65"/>
      <c r="S76" s="65"/>
      <c r="T76" s="65"/>
      <c r="U76" s="66"/>
      <c r="V76" s="66"/>
      <c r="W76" s="66"/>
      <c r="X76" s="65"/>
      <c r="Y76" s="65"/>
      <c r="Z76" s="65"/>
      <c r="AA76" s="66"/>
      <c r="AB76" s="66"/>
      <c r="AC76" s="66"/>
      <c r="AD76" s="65"/>
      <c r="AE76" s="65"/>
      <c r="AF76" s="65"/>
      <c r="AG76" s="66"/>
      <c r="AH76" s="66"/>
      <c r="AI76" s="66"/>
      <c r="AJ76" s="65"/>
      <c r="AK76" s="65"/>
      <c r="AL76" s="65"/>
      <c r="AM76" s="66"/>
      <c r="AN76" s="66"/>
      <c r="AO76" s="66"/>
    </row>
    <row r="77" spans="1:41" s="58" customFormat="1" ht="6.95" customHeight="1" x14ac:dyDescent="0.3">
      <c r="A77" s="4"/>
      <c r="B77" s="16"/>
      <c r="C77" s="19"/>
      <c r="D77" s="24"/>
      <c r="E77" s="3"/>
      <c r="F77" s="65"/>
      <c r="G77" s="65"/>
      <c r="H77" s="65"/>
      <c r="I77" s="66"/>
      <c r="J77" s="66"/>
      <c r="K77" s="66"/>
      <c r="L77" s="65"/>
      <c r="M77" s="65"/>
      <c r="N77" s="65"/>
      <c r="O77" s="66"/>
      <c r="P77" s="66"/>
      <c r="Q77" s="66"/>
      <c r="R77" s="65"/>
      <c r="S77" s="65"/>
      <c r="T77" s="65"/>
      <c r="U77" s="66"/>
      <c r="V77" s="66"/>
      <c r="W77" s="66"/>
      <c r="X77" s="65"/>
      <c r="Y77" s="65"/>
      <c r="Z77" s="65"/>
      <c r="AA77" s="66"/>
      <c r="AB77" s="66"/>
      <c r="AC77" s="66"/>
      <c r="AD77" s="65"/>
      <c r="AE77" s="65"/>
      <c r="AF77" s="65"/>
      <c r="AG77" s="66"/>
      <c r="AH77" s="66"/>
      <c r="AI77" s="66"/>
      <c r="AJ77" s="65"/>
      <c r="AK77" s="65"/>
      <c r="AL77" s="65"/>
      <c r="AM77" s="66"/>
      <c r="AN77" s="66"/>
      <c r="AO77" s="66"/>
    </row>
    <row r="78" spans="1:41" s="58" customFormat="1" ht="17.25" x14ac:dyDescent="0.3">
      <c r="A78" s="4" t="s">
        <v>27</v>
      </c>
      <c r="B78" s="25"/>
      <c r="C78" s="47"/>
      <c r="D78" s="48"/>
      <c r="E78" s="3"/>
      <c r="F78" s="65"/>
      <c r="G78" s="65"/>
      <c r="H78" s="65"/>
      <c r="I78" s="66"/>
      <c r="J78" s="66"/>
      <c r="K78" s="66"/>
      <c r="L78" s="65"/>
      <c r="M78" s="65"/>
      <c r="N78" s="65"/>
      <c r="O78" s="66"/>
      <c r="P78" s="66"/>
      <c r="Q78" s="66"/>
      <c r="R78" s="65"/>
      <c r="S78" s="65"/>
      <c r="T78" s="65"/>
      <c r="U78" s="66"/>
      <c r="V78" s="66"/>
      <c r="W78" s="66"/>
      <c r="X78" s="65"/>
      <c r="Y78" s="65"/>
      <c r="Z78" s="65"/>
      <c r="AA78" s="66"/>
      <c r="AB78" s="66"/>
      <c r="AC78" s="66"/>
      <c r="AD78" s="65"/>
      <c r="AE78" s="65"/>
      <c r="AF78" s="65"/>
      <c r="AG78" s="66"/>
      <c r="AH78" s="66"/>
      <c r="AI78" s="66"/>
      <c r="AJ78" s="65"/>
      <c r="AK78" s="65"/>
      <c r="AL78" s="65"/>
      <c r="AM78" s="66"/>
      <c r="AN78" s="66"/>
      <c r="AO78" s="66"/>
    </row>
    <row r="79" spans="1:41" s="58" customFormat="1" ht="17.25" hidden="1" x14ac:dyDescent="0.3">
      <c r="A79" s="4" t="s">
        <v>28</v>
      </c>
      <c r="B79" s="16"/>
      <c r="C79" s="19"/>
      <c r="D79" s="24"/>
      <c r="E79" s="3"/>
      <c r="F79" s="65"/>
      <c r="G79" s="65"/>
      <c r="H79" s="65"/>
      <c r="I79" s="66"/>
      <c r="J79" s="66"/>
      <c r="K79" s="66"/>
      <c r="L79" s="65"/>
      <c r="M79" s="65"/>
      <c r="N79" s="65"/>
      <c r="O79" s="66"/>
      <c r="P79" s="66"/>
      <c r="Q79" s="66"/>
      <c r="R79" s="65"/>
      <c r="S79" s="65"/>
      <c r="T79" s="65"/>
      <c r="U79" s="66"/>
      <c r="V79" s="66"/>
      <c r="W79" s="66"/>
      <c r="X79" s="65"/>
      <c r="Y79" s="65"/>
      <c r="Z79" s="65"/>
      <c r="AA79" s="66"/>
      <c r="AB79" s="66"/>
      <c r="AC79" s="66"/>
      <c r="AD79" s="65"/>
      <c r="AE79" s="65"/>
      <c r="AF79" s="65"/>
      <c r="AG79" s="66"/>
      <c r="AH79" s="66"/>
      <c r="AI79" s="66"/>
      <c r="AJ79" s="65"/>
      <c r="AK79" s="65"/>
      <c r="AL79" s="65"/>
      <c r="AM79" s="66"/>
      <c r="AN79" s="66"/>
      <c r="AO79" s="66"/>
    </row>
    <row r="80" spans="1:41" s="58" customFormat="1" ht="17.25" hidden="1" x14ac:dyDescent="0.3">
      <c r="A80" s="15" t="s">
        <v>29</v>
      </c>
      <c r="B80" s="16"/>
      <c r="C80" s="19">
        <v>0</v>
      </c>
      <c r="D80" s="24"/>
      <c r="E80" s="3"/>
      <c r="F80" s="65"/>
      <c r="G80" s="65"/>
      <c r="H80" s="65"/>
      <c r="I80" s="66"/>
      <c r="J80" s="66"/>
      <c r="K80" s="66"/>
      <c r="L80" s="65"/>
      <c r="M80" s="65"/>
      <c r="N80" s="65"/>
      <c r="O80" s="66"/>
      <c r="P80" s="66"/>
      <c r="Q80" s="66"/>
      <c r="R80" s="65"/>
      <c r="S80" s="65"/>
      <c r="T80" s="65"/>
      <c r="U80" s="66"/>
      <c r="V80" s="66"/>
      <c r="W80" s="66"/>
      <c r="X80" s="65"/>
      <c r="Y80" s="65"/>
      <c r="Z80" s="65"/>
      <c r="AA80" s="66"/>
      <c r="AB80" s="66"/>
      <c r="AC80" s="66"/>
      <c r="AD80" s="65"/>
      <c r="AE80" s="65"/>
      <c r="AF80" s="65"/>
      <c r="AG80" s="66"/>
      <c r="AH80" s="66"/>
      <c r="AI80" s="66"/>
      <c r="AJ80" s="65"/>
      <c r="AK80" s="65"/>
      <c r="AL80" s="65"/>
      <c r="AM80" s="66"/>
      <c r="AN80" s="66"/>
      <c r="AO80" s="66"/>
    </row>
    <row r="81" spans="1:41" s="58" customFormat="1" ht="17.25" hidden="1" x14ac:dyDescent="0.3">
      <c r="A81" s="4" t="s">
        <v>30</v>
      </c>
      <c r="B81" s="16"/>
      <c r="C81" s="18">
        <f>C80</f>
        <v>0</v>
      </c>
      <c r="D81" s="24"/>
      <c r="E81" s="3"/>
      <c r="F81" s="65"/>
      <c r="G81" s="65"/>
      <c r="H81" s="65"/>
      <c r="I81" s="66"/>
      <c r="J81" s="66"/>
      <c r="K81" s="66"/>
      <c r="L81" s="65"/>
      <c r="M81" s="65"/>
      <c r="N81" s="65"/>
      <c r="O81" s="66"/>
      <c r="P81" s="66"/>
      <c r="Q81" s="66"/>
      <c r="R81" s="65"/>
      <c r="S81" s="65"/>
      <c r="T81" s="65"/>
      <c r="U81" s="66"/>
      <c r="V81" s="66"/>
      <c r="W81" s="66"/>
      <c r="X81" s="65"/>
      <c r="Y81" s="65"/>
      <c r="Z81" s="65"/>
      <c r="AA81" s="66"/>
      <c r="AB81" s="66"/>
      <c r="AC81" s="66"/>
      <c r="AD81" s="65"/>
      <c r="AE81" s="65"/>
      <c r="AF81" s="65"/>
      <c r="AG81" s="66"/>
      <c r="AH81" s="66"/>
      <c r="AI81" s="66"/>
      <c r="AJ81" s="65"/>
      <c r="AK81" s="65"/>
      <c r="AL81" s="65"/>
      <c r="AM81" s="66"/>
      <c r="AN81" s="66"/>
      <c r="AO81" s="66"/>
    </row>
    <row r="82" spans="1:41" s="58" customFormat="1" ht="9.9499999999999993" customHeight="1" x14ac:dyDescent="0.3">
      <c r="A82" s="15"/>
      <c r="B82" s="16"/>
      <c r="C82" s="19"/>
      <c r="D82" s="24"/>
      <c r="E82" s="3"/>
      <c r="F82" s="65"/>
      <c r="G82" s="65"/>
      <c r="H82" s="65"/>
      <c r="I82" s="66"/>
      <c r="J82" s="66"/>
      <c r="K82" s="66"/>
      <c r="L82" s="65"/>
      <c r="M82" s="65"/>
      <c r="N82" s="65"/>
      <c r="O82" s="66"/>
      <c r="P82" s="66"/>
      <c r="Q82" s="66"/>
      <c r="R82" s="65"/>
      <c r="S82" s="65"/>
      <c r="T82" s="65"/>
      <c r="U82" s="66"/>
      <c r="V82" s="66"/>
      <c r="W82" s="66"/>
      <c r="X82" s="65"/>
      <c r="Y82" s="65"/>
      <c r="Z82" s="65"/>
      <c r="AA82" s="66"/>
      <c r="AB82" s="66"/>
      <c r="AC82" s="66"/>
      <c r="AD82" s="65"/>
      <c r="AE82" s="65"/>
      <c r="AF82" s="65"/>
      <c r="AG82" s="66"/>
      <c r="AH82" s="66"/>
      <c r="AI82" s="66"/>
      <c r="AJ82" s="65"/>
      <c r="AK82" s="65"/>
      <c r="AL82" s="65"/>
      <c r="AM82" s="66"/>
      <c r="AN82" s="66"/>
      <c r="AO82" s="66"/>
    </row>
    <row r="83" spans="1:41" s="58" customFormat="1" ht="17.25" x14ac:dyDescent="0.3">
      <c r="A83" s="15" t="s">
        <v>31</v>
      </c>
      <c r="B83" s="16"/>
      <c r="C83" s="14">
        <f>H83+K83+N83+Q83+T83+W83+Z83+AC83+AF83+AI83+AL83+AO83</f>
        <v>2482425</v>
      </c>
      <c r="D83" s="24"/>
      <c r="E83" s="3"/>
      <c r="F83" s="132">
        <v>809268</v>
      </c>
      <c r="G83" s="65"/>
      <c r="H83" s="65">
        <f t="shared" si="27"/>
        <v>809268</v>
      </c>
      <c r="I83" s="132">
        <v>258812</v>
      </c>
      <c r="J83" s="66"/>
      <c r="K83" s="66">
        <f t="shared" si="28"/>
        <v>258812</v>
      </c>
      <c r="L83" s="65">
        <v>0</v>
      </c>
      <c r="M83" s="65"/>
      <c r="N83" s="65">
        <f t="shared" si="29"/>
        <v>0</v>
      </c>
      <c r="O83" s="132">
        <v>579104</v>
      </c>
      <c r="P83" s="66"/>
      <c r="Q83" s="66">
        <f t="shared" si="30"/>
        <v>579104</v>
      </c>
      <c r="R83" s="132">
        <v>699641</v>
      </c>
      <c r="S83" s="65"/>
      <c r="T83" s="65">
        <f t="shared" si="31"/>
        <v>699641</v>
      </c>
      <c r="U83" s="132">
        <v>48611</v>
      </c>
      <c r="V83" s="66"/>
      <c r="W83" s="66">
        <f t="shared" si="32"/>
        <v>48611</v>
      </c>
      <c r="X83" s="132">
        <v>55845</v>
      </c>
      <c r="Y83" s="65"/>
      <c r="Z83" s="65">
        <f t="shared" si="33"/>
        <v>55845</v>
      </c>
      <c r="AA83" s="132">
        <v>31144</v>
      </c>
      <c r="AB83" s="66"/>
      <c r="AC83" s="66">
        <f t="shared" si="34"/>
        <v>31144</v>
      </c>
      <c r="AD83" s="65">
        <v>0</v>
      </c>
      <c r="AE83" s="65"/>
      <c r="AF83" s="65">
        <f t="shared" si="35"/>
        <v>0</v>
      </c>
      <c r="AG83" s="66"/>
      <c r="AH83" s="66"/>
      <c r="AI83" s="66">
        <f t="shared" si="36"/>
        <v>0</v>
      </c>
      <c r="AJ83" s="65"/>
      <c r="AK83" s="65"/>
      <c r="AL83" s="65">
        <f t="shared" si="37"/>
        <v>0</v>
      </c>
      <c r="AM83" s="66"/>
      <c r="AN83" s="66"/>
      <c r="AO83" s="66">
        <f t="shared" ref="AO83" si="46">AM83+AN83</f>
        <v>0</v>
      </c>
    </row>
    <row r="84" spans="1:41" s="58" customFormat="1" ht="18.95" customHeight="1" x14ac:dyDescent="0.3">
      <c r="A84" s="4" t="s">
        <v>32</v>
      </c>
      <c r="B84" s="16"/>
      <c r="C84" s="17">
        <f>C83</f>
        <v>2482425</v>
      </c>
      <c r="D84" s="28"/>
      <c r="E84" s="3"/>
      <c r="F84" s="17">
        <f>F83</f>
        <v>809268</v>
      </c>
      <c r="G84" s="17">
        <f t="shared" ref="G84:AO84" si="47">G83</f>
        <v>0</v>
      </c>
      <c r="H84" s="17">
        <f t="shared" si="47"/>
        <v>809268</v>
      </c>
      <c r="I84" s="17">
        <f t="shared" si="47"/>
        <v>258812</v>
      </c>
      <c r="J84" s="17">
        <f t="shared" si="47"/>
        <v>0</v>
      </c>
      <c r="K84" s="17">
        <f t="shared" si="47"/>
        <v>258812</v>
      </c>
      <c r="L84" s="17">
        <f t="shared" si="47"/>
        <v>0</v>
      </c>
      <c r="M84" s="17">
        <f t="shared" si="47"/>
        <v>0</v>
      </c>
      <c r="N84" s="17">
        <f t="shared" si="47"/>
        <v>0</v>
      </c>
      <c r="O84" s="17">
        <f t="shared" si="47"/>
        <v>579104</v>
      </c>
      <c r="P84" s="17">
        <f t="shared" si="47"/>
        <v>0</v>
      </c>
      <c r="Q84" s="17">
        <f t="shared" si="47"/>
        <v>579104</v>
      </c>
      <c r="R84" s="17">
        <f t="shared" si="47"/>
        <v>699641</v>
      </c>
      <c r="S84" s="17">
        <f t="shared" si="47"/>
        <v>0</v>
      </c>
      <c r="T84" s="17">
        <f t="shared" si="47"/>
        <v>699641</v>
      </c>
      <c r="U84" s="17">
        <f t="shared" si="47"/>
        <v>48611</v>
      </c>
      <c r="V84" s="17">
        <f t="shared" si="47"/>
        <v>0</v>
      </c>
      <c r="W84" s="17">
        <f t="shared" si="47"/>
        <v>48611</v>
      </c>
      <c r="X84" s="17">
        <f t="shared" si="47"/>
        <v>55845</v>
      </c>
      <c r="Y84" s="17">
        <f t="shared" si="47"/>
        <v>0</v>
      </c>
      <c r="Z84" s="17">
        <f t="shared" si="47"/>
        <v>55845</v>
      </c>
      <c r="AA84" s="17">
        <f t="shared" si="47"/>
        <v>31144</v>
      </c>
      <c r="AB84" s="17">
        <f t="shared" si="47"/>
        <v>0</v>
      </c>
      <c r="AC84" s="17">
        <f t="shared" si="47"/>
        <v>31144</v>
      </c>
      <c r="AD84" s="17">
        <f t="shared" si="47"/>
        <v>0</v>
      </c>
      <c r="AE84" s="17">
        <f t="shared" si="47"/>
        <v>0</v>
      </c>
      <c r="AF84" s="17">
        <f t="shared" si="47"/>
        <v>0</v>
      </c>
      <c r="AG84" s="17">
        <f t="shared" si="47"/>
        <v>0</v>
      </c>
      <c r="AH84" s="17">
        <f t="shared" si="47"/>
        <v>0</v>
      </c>
      <c r="AI84" s="17">
        <f t="shared" si="47"/>
        <v>0</v>
      </c>
      <c r="AJ84" s="17">
        <f t="shared" si="47"/>
        <v>0</v>
      </c>
      <c r="AK84" s="17">
        <f t="shared" si="47"/>
        <v>0</v>
      </c>
      <c r="AL84" s="17">
        <f t="shared" si="47"/>
        <v>0</v>
      </c>
      <c r="AM84" s="17">
        <f t="shared" si="47"/>
        <v>0</v>
      </c>
      <c r="AN84" s="17">
        <f t="shared" si="47"/>
        <v>0</v>
      </c>
      <c r="AO84" s="17">
        <f t="shared" si="47"/>
        <v>0</v>
      </c>
    </row>
    <row r="85" spans="1:41" s="58" customFormat="1" ht="9.9499999999999993" customHeight="1" x14ac:dyDescent="0.3">
      <c r="A85" s="4"/>
      <c r="B85" s="16"/>
      <c r="C85" s="17"/>
      <c r="D85" s="28"/>
      <c r="E85" s="3"/>
      <c r="F85" s="65"/>
      <c r="G85" s="65"/>
      <c r="H85" s="65"/>
      <c r="I85" s="66"/>
      <c r="J85" s="66"/>
      <c r="K85" s="66"/>
      <c r="L85" s="65"/>
      <c r="M85" s="65"/>
      <c r="N85" s="65"/>
      <c r="O85" s="66"/>
      <c r="P85" s="66"/>
      <c r="Q85" s="66"/>
      <c r="R85" s="65"/>
      <c r="S85" s="65"/>
      <c r="T85" s="65"/>
      <c r="U85" s="66"/>
      <c r="V85" s="66"/>
      <c r="W85" s="66"/>
      <c r="X85" s="65"/>
      <c r="Y85" s="65"/>
      <c r="Z85" s="65"/>
      <c r="AA85" s="66"/>
      <c r="AB85" s="66"/>
      <c r="AC85" s="66"/>
      <c r="AD85" s="65"/>
      <c r="AE85" s="65"/>
      <c r="AF85" s="65"/>
      <c r="AG85" s="66"/>
      <c r="AH85" s="66"/>
      <c r="AI85" s="66"/>
      <c r="AJ85" s="65"/>
      <c r="AK85" s="65"/>
      <c r="AL85" s="65"/>
      <c r="AM85" s="66"/>
      <c r="AN85" s="66"/>
      <c r="AO85" s="66"/>
    </row>
    <row r="86" spans="1:41" s="58" customFormat="1" ht="17.25" x14ac:dyDescent="0.3">
      <c r="A86" s="4" t="s">
        <v>33</v>
      </c>
      <c r="B86" s="16"/>
      <c r="C86" s="28"/>
      <c r="D86" s="28"/>
      <c r="E86" s="3"/>
      <c r="F86" s="65"/>
      <c r="G86" s="65"/>
      <c r="H86" s="65">
        <f t="shared" si="27"/>
        <v>0</v>
      </c>
      <c r="I86" s="66"/>
      <c r="J86" s="66"/>
      <c r="K86" s="66">
        <f t="shared" si="28"/>
        <v>0</v>
      </c>
      <c r="L86" s="65"/>
      <c r="M86" s="65"/>
      <c r="N86" s="65">
        <f t="shared" si="29"/>
        <v>0</v>
      </c>
      <c r="O86" s="66"/>
      <c r="P86" s="66"/>
      <c r="Q86" s="66">
        <f t="shared" si="30"/>
        <v>0</v>
      </c>
      <c r="R86" s="65"/>
      <c r="S86" s="65"/>
      <c r="T86" s="65">
        <f t="shared" si="31"/>
        <v>0</v>
      </c>
      <c r="U86" s="66"/>
      <c r="V86" s="66"/>
      <c r="W86" s="66">
        <f t="shared" si="32"/>
        <v>0</v>
      </c>
      <c r="X86" s="65"/>
      <c r="Y86" s="65"/>
      <c r="Z86" s="65">
        <f t="shared" si="33"/>
        <v>0</v>
      </c>
      <c r="AA86" s="66"/>
      <c r="AB86" s="66"/>
      <c r="AC86" s="66">
        <f t="shared" si="34"/>
        <v>0</v>
      </c>
      <c r="AD86" s="65"/>
      <c r="AE86" s="65"/>
      <c r="AF86" s="65">
        <f t="shared" si="35"/>
        <v>0</v>
      </c>
      <c r="AG86" s="66"/>
      <c r="AH86" s="66"/>
      <c r="AI86" s="66">
        <f t="shared" si="36"/>
        <v>0</v>
      </c>
      <c r="AJ86" s="65"/>
      <c r="AK86" s="65"/>
      <c r="AL86" s="65">
        <f t="shared" si="37"/>
        <v>0</v>
      </c>
      <c r="AM86" s="66"/>
      <c r="AN86" s="66"/>
      <c r="AO86" s="66">
        <f t="shared" ref="AO86:AO88" si="48">AM86+AN86</f>
        <v>0</v>
      </c>
    </row>
    <row r="87" spans="1:41" s="58" customFormat="1" ht="17.25" x14ac:dyDescent="0.3">
      <c r="A87" s="70" t="s">
        <v>78</v>
      </c>
      <c r="B87" s="16"/>
      <c r="C87" s="21"/>
      <c r="D87" s="28"/>
      <c r="E87" s="3"/>
      <c r="F87" s="65"/>
      <c r="G87" s="65"/>
      <c r="H87" s="65">
        <f t="shared" si="27"/>
        <v>0</v>
      </c>
      <c r="I87" s="66"/>
      <c r="J87" s="66"/>
      <c r="K87" s="66">
        <f t="shared" si="28"/>
        <v>0</v>
      </c>
      <c r="L87" s="65"/>
      <c r="M87" s="65"/>
      <c r="N87" s="65">
        <f t="shared" si="29"/>
        <v>0</v>
      </c>
      <c r="O87" s="66"/>
      <c r="P87" s="66"/>
      <c r="Q87" s="66">
        <f t="shared" si="30"/>
        <v>0</v>
      </c>
      <c r="R87" s="65"/>
      <c r="S87" s="65"/>
      <c r="T87" s="65">
        <f t="shared" si="31"/>
        <v>0</v>
      </c>
      <c r="U87" s="66"/>
      <c r="V87" s="66"/>
      <c r="W87" s="66">
        <f t="shared" si="32"/>
        <v>0</v>
      </c>
      <c r="X87" s="65"/>
      <c r="Y87" s="65"/>
      <c r="Z87" s="65">
        <f t="shared" si="33"/>
        <v>0</v>
      </c>
      <c r="AA87" s="66"/>
      <c r="AB87" s="66"/>
      <c r="AC87" s="66">
        <f t="shared" si="34"/>
        <v>0</v>
      </c>
      <c r="AD87" s="65"/>
      <c r="AE87" s="65"/>
      <c r="AF87" s="65">
        <f t="shared" si="35"/>
        <v>0</v>
      </c>
      <c r="AG87" s="66"/>
      <c r="AH87" s="66"/>
      <c r="AI87" s="66">
        <f t="shared" si="36"/>
        <v>0</v>
      </c>
      <c r="AJ87" s="65"/>
      <c r="AK87" s="65"/>
      <c r="AL87" s="65">
        <f t="shared" si="37"/>
        <v>0</v>
      </c>
      <c r="AM87" s="66"/>
      <c r="AN87" s="66"/>
      <c r="AO87" s="66">
        <f t="shared" si="48"/>
        <v>0</v>
      </c>
    </row>
    <row r="88" spans="1:41" s="58" customFormat="1" ht="17.25" x14ac:dyDescent="0.3">
      <c r="A88" s="15" t="s">
        <v>34</v>
      </c>
      <c r="B88" s="16"/>
      <c r="C88" s="14">
        <f>H88+K88+N88+Q88+T88+W88+Z88+AC88+AF88+AI88+AL88+AO88</f>
        <v>3012248</v>
      </c>
      <c r="D88" s="28"/>
      <c r="E88" s="3"/>
      <c r="F88" s="132">
        <v>3012248</v>
      </c>
      <c r="G88" s="65"/>
      <c r="H88" s="65">
        <f t="shared" si="27"/>
        <v>3012248</v>
      </c>
      <c r="I88" s="132">
        <v>0</v>
      </c>
      <c r="J88" s="66"/>
      <c r="K88" s="66">
        <f t="shared" si="28"/>
        <v>0</v>
      </c>
      <c r="L88" s="65">
        <v>0</v>
      </c>
      <c r="M88" s="65"/>
      <c r="N88" s="65">
        <f t="shared" si="29"/>
        <v>0</v>
      </c>
      <c r="O88" s="132">
        <v>0</v>
      </c>
      <c r="P88" s="66"/>
      <c r="Q88" s="66">
        <f t="shared" si="30"/>
        <v>0</v>
      </c>
      <c r="R88" s="132">
        <v>0</v>
      </c>
      <c r="S88" s="65"/>
      <c r="T88" s="65">
        <f t="shared" si="31"/>
        <v>0</v>
      </c>
      <c r="U88" s="132">
        <v>0</v>
      </c>
      <c r="V88" s="66"/>
      <c r="W88" s="66">
        <f t="shared" si="32"/>
        <v>0</v>
      </c>
      <c r="X88" s="65"/>
      <c r="Y88" s="65"/>
      <c r="Z88" s="65">
        <f t="shared" si="33"/>
        <v>0</v>
      </c>
      <c r="AA88" s="66"/>
      <c r="AB88" s="66"/>
      <c r="AC88" s="66">
        <f t="shared" si="34"/>
        <v>0</v>
      </c>
      <c r="AD88" s="65"/>
      <c r="AE88" s="65"/>
      <c r="AF88" s="65">
        <f t="shared" si="35"/>
        <v>0</v>
      </c>
      <c r="AG88" s="66"/>
      <c r="AH88" s="66"/>
      <c r="AI88" s="66">
        <f t="shared" si="36"/>
        <v>0</v>
      </c>
      <c r="AJ88" s="65"/>
      <c r="AK88" s="65"/>
      <c r="AL88" s="65">
        <f t="shared" si="37"/>
        <v>0</v>
      </c>
      <c r="AM88" s="66"/>
      <c r="AN88" s="66"/>
      <c r="AO88" s="66">
        <f t="shared" si="48"/>
        <v>0</v>
      </c>
    </row>
    <row r="89" spans="1:41" s="58" customFormat="1" ht="17.25" x14ac:dyDescent="0.3">
      <c r="A89" s="71" t="s">
        <v>77</v>
      </c>
      <c r="B89" s="16"/>
      <c r="C89" s="17">
        <f>C88</f>
        <v>3012248</v>
      </c>
      <c r="D89" s="28"/>
      <c r="E89" s="3"/>
      <c r="F89" s="17">
        <f>F88</f>
        <v>3012248</v>
      </c>
      <c r="G89" s="17">
        <f t="shared" ref="G89:AO89" si="49">G88</f>
        <v>0</v>
      </c>
      <c r="H89" s="17">
        <f t="shared" si="49"/>
        <v>3012248</v>
      </c>
      <c r="I89" s="17">
        <f t="shared" si="49"/>
        <v>0</v>
      </c>
      <c r="J89" s="17">
        <f t="shared" si="49"/>
        <v>0</v>
      </c>
      <c r="K89" s="17">
        <f t="shared" si="49"/>
        <v>0</v>
      </c>
      <c r="L89" s="17">
        <f t="shared" si="49"/>
        <v>0</v>
      </c>
      <c r="M89" s="17">
        <f t="shared" si="49"/>
        <v>0</v>
      </c>
      <c r="N89" s="17">
        <f t="shared" si="49"/>
        <v>0</v>
      </c>
      <c r="O89" s="17">
        <f t="shared" si="49"/>
        <v>0</v>
      </c>
      <c r="P89" s="17">
        <f t="shared" si="49"/>
        <v>0</v>
      </c>
      <c r="Q89" s="17">
        <f t="shared" si="49"/>
        <v>0</v>
      </c>
      <c r="R89" s="17">
        <f t="shared" si="49"/>
        <v>0</v>
      </c>
      <c r="S89" s="17">
        <f t="shared" si="49"/>
        <v>0</v>
      </c>
      <c r="T89" s="17">
        <f t="shared" si="49"/>
        <v>0</v>
      </c>
      <c r="U89" s="17">
        <f t="shared" si="49"/>
        <v>0</v>
      </c>
      <c r="V89" s="17">
        <f t="shared" si="49"/>
        <v>0</v>
      </c>
      <c r="W89" s="17">
        <f t="shared" si="49"/>
        <v>0</v>
      </c>
      <c r="X89" s="17">
        <f t="shared" si="49"/>
        <v>0</v>
      </c>
      <c r="Y89" s="17">
        <f t="shared" si="49"/>
        <v>0</v>
      </c>
      <c r="Z89" s="17">
        <f t="shared" si="49"/>
        <v>0</v>
      </c>
      <c r="AA89" s="17">
        <f t="shared" si="49"/>
        <v>0</v>
      </c>
      <c r="AB89" s="17">
        <f t="shared" si="49"/>
        <v>0</v>
      </c>
      <c r="AC89" s="17">
        <f t="shared" si="49"/>
        <v>0</v>
      </c>
      <c r="AD89" s="17">
        <f t="shared" si="49"/>
        <v>0</v>
      </c>
      <c r="AE89" s="17">
        <f t="shared" si="49"/>
        <v>0</v>
      </c>
      <c r="AF89" s="17">
        <f t="shared" si="49"/>
        <v>0</v>
      </c>
      <c r="AG89" s="17">
        <f t="shared" si="49"/>
        <v>0</v>
      </c>
      <c r="AH89" s="17">
        <f t="shared" si="49"/>
        <v>0</v>
      </c>
      <c r="AI89" s="17">
        <f t="shared" si="49"/>
        <v>0</v>
      </c>
      <c r="AJ89" s="17">
        <f t="shared" si="49"/>
        <v>0</v>
      </c>
      <c r="AK89" s="17">
        <f t="shared" si="49"/>
        <v>0</v>
      </c>
      <c r="AL89" s="17">
        <f t="shared" si="49"/>
        <v>0</v>
      </c>
      <c r="AM89" s="17">
        <f t="shared" si="49"/>
        <v>0</v>
      </c>
      <c r="AN89" s="17">
        <f t="shared" si="49"/>
        <v>0</v>
      </c>
      <c r="AO89" s="17">
        <f t="shared" si="49"/>
        <v>0</v>
      </c>
    </row>
    <row r="90" spans="1:41" s="58" customFormat="1" ht="11.1" customHeight="1" x14ac:dyDescent="0.3">
      <c r="A90" s="15"/>
      <c r="B90" s="16"/>
      <c r="C90" s="24"/>
      <c r="D90" s="24"/>
      <c r="E90" s="3"/>
      <c r="F90" s="65"/>
      <c r="G90" s="65"/>
      <c r="H90" s="65"/>
      <c r="I90" s="66"/>
      <c r="J90" s="66"/>
      <c r="K90" s="66"/>
      <c r="L90" s="65"/>
      <c r="M90" s="65"/>
      <c r="N90" s="65"/>
      <c r="O90" s="66"/>
      <c r="P90" s="66"/>
      <c r="Q90" s="66"/>
      <c r="R90" s="65"/>
      <c r="S90" s="65"/>
      <c r="T90" s="65"/>
      <c r="U90" s="66"/>
      <c r="V90" s="66"/>
      <c r="W90" s="66"/>
      <c r="X90" s="65"/>
      <c r="Y90" s="65"/>
      <c r="Z90" s="65"/>
      <c r="AA90" s="66"/>
      <c r="AB90" s="66"/>
      <c r="AC90" s="66"/>
      <c r="AD90" s="65"/>
      <c r="AE90" s="65"/>
      <c r="AF90" s="65"/>
      <c r="AG90" s="66"/>
      <c r="AH90" s="66"/>
      <c r="AI90" s="66"/>
      <c r="AJ90" s="65"/>
      <c r="AK90" s="65"/>
      <c r="AL90" s="65"/>
      <c r="AM90" s="66"/>
      <c r="AN90" s="66"/>
      <c r="AO90" s="66"/>
    </row>
    <row r="91" spans="1:41" s="58" customFormat="1" ht="17.25" x14ac:dyDescent="0.3">
      <c r="A91" s="70" t="s">
        <v>79</v>
      </c>
      <c r="B91" s="16"/>
      <c r="C91" s="19"/>
      <c r="D91" s="24"/>
      <c r="E91" s="3"/>
      <c r="F91" s="65"/>
      <c r="G91" s="65"/>
      <c r="H91" s="65"/>
      <c r="I91" s="66"/>
      <c r="J91" s="66"/>
      <c r="K91" s="66"/>
      <c r="L91" s="65"/>
      <c r="M91" s="65"/>
      <c r="N91" s="65"/>
      <c r="O91" s="66"/>
      <c r="P91" s="66"/>
      <c r="Q91" s="66"/>
      <c r="R91" s="65"/>
      <c r="S91" s="65"/>
      <c r="T91" s="65"/>
      <c r="U91" s="66"/>
      <c r="V91" s="66"/>
      <c r="W91" s="66"/>
      <c r="X91" s="65"/>
      <c r="Y91" s="65"/>
      <c r="Z91" s="65"/>
      <c r="AA91" s="66"/>
      <c r="AB91" s="66"/>
      <c r="AC91" s="66"/>
      <c r="AD91" s="65"/>
      <c r="AE91" s="65"/>
      <c r="AF91" s="65"/>
      <c r="AG91" s="66"/>
      <c r="AH91" s="66"/>
      <c r="AI91" s="66"/>
      <c r="AJ91" s="65"/>
      <c r="AK91" s="65"/>
      <c r="AL91" s="65"/>
      <c r="AM91" s="66"/>
      <c r="AN91" s="66"/>
      <c r="AO91" s="66"/>
    </row>
    <row r="92" spans="1:41" s="58" customFormat="1" ht="17.25" x14ac:dyDescent="0.3">
      <c r="A92" s="68" t="s">
        <v>75</v>
      </c>
      <c r="B92" s="16"/>
      <c r="C92" s="14">
        <f>H92+K92+N92+Q92+T92+W92+Z92+AC92+AF92+AI92+AL92+AO92</f>
        <v>0</v>
      </c>
      <c r="D92" s="24"/>
      <c r="E92" s="3"/>
      <c r="F92" s="132">
        <v>0</v>
      </c>
      <c r="G92" s="65"/>
      <c r="H92" s="65">
        <f t="shared" si="27"/>
        <v>0</v>
      </c>
      <c r="I92" s="132"/>
      <c r="J92" s="66"/>
      <c r="K92" s="66">
        <f t="shared" si="28"/>
        <v>0</v>
      </c>
      <c r="L92" s="65">
        <v>0</v>
      </c>
      <c r="M92" s="65"/>
      <c r="N92" s="65">
        <f t="shared" si="29"/>
        <v>0</v>
      </c>
      <c r="O92" s="132">
        <v>0</v>
      </c>
      <c r="P92" s="66"/>
      <c r="Q92" s="66">
        <f t="shared" si="30"/>
        <v>0</v>
      </c>
      <c r="R92" s="132">
        <v>0</v>
      </c>
      <c r="S92" s="65"/>
      <c r="T92" s="65">
        <f t="shared" si="31"/>
        <v>0</v>
      </c>
      <c r="U92" s="132">
        <v>0</v>
      </c>
      <c r="V92" s="66"/>
      <c r="W92" s="66">
        <f t="shared" si="32"/>
        <v>0</v>
      </c>
      <c r="X92" s="65"/>
      <c r="Y92" s="65"/>
      <c r="Z92" s="65">
        <f t="shared" si="33"/>
        <v>0</v>
      </c>
      <c r="AA92" s="66"/>
      <c r="AB92" s="66"/>
      <c r="AC92" s="66">
        <f t="shared" si="34"/>
        <v>0</v>
      </c>
      <c r="AD92" s="65"/>
      <c r="AE92" s="65"/>
      <c r="AF92" s="65">
        <f t="shared" si="35"/>
        <v>0</v>
      </c>
      <c r="AG92" s="66"/>
      <c r="AH92" s="66"/>
      <c r="AI92" s="66">
        <f t="shared" si="36"/>
        <v>0</v>
      </c>
      <c r="AJ92" s="65"/>
      <c r="AK92" s="65"/>
      <c r="AL92" s="65">
        <f t="shared" si="37"/>
        <v>0</v>
      </c>
      <c r="AM92" s="66"/>
      <c r="AN92" s="66"/>
      <c r="AO92" s="66">
        <f t="shared" ref="AO92:AO95" si="50">AM92+AN92</f>
        <v>0</v>
      </c>
    </row>
    <row r="93" spans="1:41" s="58" customFormat="1" ht="17.25" x14ac:dyDescent="0.3">
      <c r="A93" s="15" t="s">
        <v>35</v>
      </c>
      <c r="B93" s="16"/>
      <c r="C93" s="14">
        <f>H93+K93+N93+Q93+T93+W93+Z93+AC93+AF93+AI93+AL93+AO93</f>
        <v>182616</v>
      </c>
      <c r="D93" s="24"/>
      <c r="E93" s="3"/>
      <c r="F93" s="132">
        <v>31008</v>
      </c>
      <c r="G93" s="65"/>
      <c r="H93" s="65">
        <f t="shared" si="27"/>
        <v>31008</v>
      </c>
      <c r="I93" s="132">
        <v>43704</v>
      </c>
      <c r="J93" s="66"/>
      <c r="K93" s="66">
        <f t="shared" si="28"/>
        <v>43704</v>
      </c>
      <c r="L93" s="65">
        <v>0</v>
      </c>
      <c r="M93" s="65"/>
      <c r="N93" s="65">
        <f t="shared" si="29"/>
        <v>0</v>
      </c>
      <c r="O93" s="132">
        <v>3686</v>
      </c>
      <c r="P93" s="66"/>
      <c r="Q93" s="66">
        <f t="shared" si="30"/>
        <v>3686</v>
      </c>
      <c r="R93" s="132">
        <v>100453</v>
      </c>
      <c r="S93" s="65"/>
      <c r="T93" s="65">
        <f t="shared" si="31"/>
        <v>100453</v>
      </c>
      <c r="U93" s="132">
        <v>3210</v>
      </c>
      <c r="V93" s="66"/>
      <c r="W93" s="66">
        <f t="shared" si="32"/>
        <v>3210</v>
      </c>
      <c r="X93" s="65"/>
      <c r="Y93" s="65"/>
      <c r="Z93" s="65">
        <f t="shared" si="33"/>
        <v>0</v>
      </c>
      <c r="AA93" s="66">
        <v>555</v>
      </c>
      <c r="AB93" s="66"/>
      <c r="AC93" s="66">
        <f t="shared" si="34"/>
        <v>555</v>
      </c>
      <c r="AD93" s="65"/>
      <c r="AE93" s="65"/>
      <c r="AF93" s="65">
        <f t="shared" si="35"/>
        <v>0</v>
      </c>
      <c r="AG93" s="66"/>
      <c r="AH93" s="66"/>
      <c r="AI93" s="66">
        <f t="shared" si="36"/>
        <v>0</v>
      </c>
      <c r="AJ93" s="65"/>
      <c r="AK93" s="65"/>
      <c r="AL93" s="65">
        <f t="shared" si="37"/>
        <v>0</v>
      </c>
      <c r="AM93" s="66"/>
      <c r="AN93" s="66"/>
      <c r="AO93" s="66">
        <f t="shared" si="50"/>
        <v>0</v>
      </c>
    </row>
    <row r="94" spans="1:41" s="58" customFormat="1" ht="17.25" x14ac:dyDescent="0.3">
      <c r="A94" s="68" t="s">
        <v>76</v>
      </c>
      <c r="B94" s="16"/>
      <c r="C94" s="14">
        <f>H94+K94+N94+Q94+T94+W94+Z94+AC94+AF94+AI94+AL94+AO94</f>
        <v>52805</v>
      </c>
      <c r="D94" s="24"/>
      <c r="E94" s="3"/>
      <c r="F94" s="132">
        <v>52805</v>
      </c>
      <c r="G94" s="65"/>
      <c r="H94" s="65">
        <f t="shared" si="27"/>
        <v>52805</v>
      </c>
      <c r="I94" s="132">
        <v>0</v>
      </c>
      <c r="J94" s="66"/>
      <c r="K94" s="66">
        <f t="shared" si="28"/>
        <v>0</v>
      </c>
      <c r="L94" s="65">
        <v>0</v>
      </c>
      <c r="M94" s="65"/>
      <c r="N94" s="65">
        <f t="shared" si="29"/>
        <v>0</v>
      </c>
      <c r="O94" s="132">
        <v>0</v>
      </c>
      <c r="P94" s="66"/>
      <c r="Q94" s="66">
        <f t="shared" si="30"/>
        <v>0</v>
      </c>
      <c r="R94" s="132">
        <v>0</v>
      </c>
      <c r="S94" s="65"/>
      <c r="T94" s="65">
        <f t="shared" si="31"/>
        <v>0</v>
      </c>
      <c r="U94" s="132">
        <v>0</v>
      </c>
      <c r="V94" s="66"/>
      <c r="W94" s="66">
        <f t="shared" si="32"/>
        <v>0</v>
      </c>
      <c r="X94" s="65"/>
      <c r="Y94" s="65"/>
      <c r="Z94" s="65">
        <f t="shared" si="33"/>
        <v>0</v>
      </c>
      <c r="AA94" s="66"/>
      <c r="AB94" s="66"/>
      <c r="AC94" s="66">
        <f t="shared" si="34"/>
        <v>0</v>
      </c>
      <c r="AD94" s="65"/>
      <c r="AE94" s="65"/>
      <c r="AF94" s="65">
        <f t="shared" si="35"/>
        <v>0</v>
      </c>
      <c r="AG94" s="66"/>
      <c r="AH94" s="66"/>
      <c r="AI94" s="66">
        <f t="shared" si="36"/>
        <v>0</v>
      </c>
      <c r="AJ94" s="65"/>
      <c r="AK94" s="65"/>
      <c r="AL94" s="65">
        <f t="shared" si="37"/>
        <v>0</v>
      </c>
      <c r="AM94" s="66"/>
      <c r="AN94" s="66"/>
      <c r="AO94" s="66">
        <f t="shared" si="50"/>
        <v>0</v>
      </c>
    </row>
    <row r="95" spans="1:41" s="58" customFormat="1" ht="18.95" customHeight="1" x14ac:dyDescent="0.3">
      <c r="A95" s="15" t="s">
        <v>36</v>
      </c>
      <c r="B95" s="16"/>
      <c r="C95" s="14">
        <f>H95+K95+N95+Q95+T95+W95+Z95+AC95+AF95+AI95+AL95+AO95</f>
        <v>200161</v>
      </c>
      <c r="D95" s="45"/>
      <c r="E95" s="3"/>
      <c r="F95" s="132">
        <v>84918</v>
      </c>
      <c r="G95" s="120">
        <v>-40232</v>
      </c>
      <c r="H95" s="65">
        <f t="shared" si="27"/>
        <v>44686</v>
      </c>
      <c r="I95" s="132">
        <v>114100</v>
      </c>
      <c r="J95" s="66"/>
      <c r="K95" s="66">
        <f t="shared" si="28"/>
        <v>114100</v>
      </c>
      <c r="L95" s="65">
        <v>0</v>
      </c>
      <c r="M95" s="65"/>
      <c r="N95" s="65">
        <f t="shared" si="29"/>
        <v>0</v>
      </c>
      <c r="O95" s="132">
        <v>0</v>
      </c>
      <c r="P95" s="66"/>
      <c r="Q95" s="66">
        <f t="shared" si="30"/>
        <v>0</v>
      </c>
      <c r="R95" s="132">
        <v>526631</v>
      </c>
      <c r="S95" s="120">
        <f>-403000-97631</f>
        <v>-500631</v>
      </c>
      <c r="T95" s="65">
        <f t="shared" si="31"/>
        <v>26000</v>
      </c>
      <c r="U95" s="132">
        <v>4560</v>
      </c>
      <c r="V95" s="120">
        <v>0</v>
      </c>
      <c r="W95" s="66">
        <f t="shared" si="32"/>
        <v>4560</v>
      </c>
      <c r="X95" s="132">
        <v>9150</v>
      </c>
      <c r="Y95" s="65"/>
      <c r="Z95" s="65">
        <f t="shared" si="33"/>
        <v>9150</v>
      </c>
      <c r="AA95" s="66">
        <v>1665</v>
      </c>
      <c r="AB95" s="66"/>
      <c r="AC95" s="66">
        <f t="shared" si="34"/>
        <v>1665</v>
      </c>
      <c r="AD95" s="65"/>
      <c r="AE95" s="65"/>
      <c r="AF95" s="65">
        <f t="shared" si="35"/>
        <v>0</v>
      </c>
      <c r="AG95" s="66"/>
      <c r="AH95" s="66"/>
      <c r="AI95" s="66">
        <f t="shared" si="36"/>
        <v>0</v>
      </c>
      <c r="AJ95" s="65"/>
      <c r="AK95" s="97"/>
      <c r="AL95" s="65">
        <f t="shared" si="37"/>
        <v>0</v>
      </c>
      <c r="AM95" s="66"/>
      <c r="AN95" s="66"/>
      <c r="AO95" s="66">
        <f t="shared" si="50"/>
        <v>0</v>
      </c>
    </row>
    <row r="96" spans="1:41" s="58" customFormat="1" ht="18.95" customHeight="1" x14ac:dyDescent="0.3">
      <c r="A96" s="70" t="s">
        <v>80</v>
      </c>
      <c r="B96" s="16"/>
      <c r="C96" s="28">
        <f>SUM(C92:C95)</f>
        <v>435582</v>
      </c>
      <c r="D96" s="28"/>
      <c r="E96" s="3"/>
      <c r="F96" s="28">
        <f>SUM(F92:F95)</f>
        <v>168731</v>
      </c>
      <c r="G96" s="28">
        <f>SUM(G92:G95)</f>
        <v>-40232</v>
      </c>
      <c r="H96" s="28">
        <f>SUM(H92:H95)</f>
        <v>128499</v>
      </c>
      <c r="I96" s="28">
        <f t="shared" ref="I96:AO96" si="51">SUM(I92:I95)</f>
        <v>157804</v>
      </c>
      <c r="J96" s="28">
        <f t="shared" si="51"/>
        <v>0</v>
      </c>
      <c r="K96" s="28">
        <f t="shared" si="51"/>
        <v>157804</v>
      </c>
      <c r="L96" s="28">
        <f t="shared" si="51"/>
        <v>0</v>
      </c>
      <c r="M96" s="28">
        <f t="shared" si="51"/>
        <v>0</v>
      </c>
      <c r="N96" s="28">
        <f t="shared" si="51"/>
        <v>0</v>
      </c>
      <c r="O96" s="28">
        <f t="shared" si="51"/>
        <v>3686</v>
      </c>
      <c r="P96" s="28">
        <f t="shared" si="51"/>
        <v>0</v>
      </c>
      <c r="Q96" s="28">
        <f t="shared" si="51"/>
        <v>3686</v>
      </c>
      <c r="R96" s="28">
        <f t="shared" si="51"/>
        <v>627084</v>
      </c>
      <c r="S96" s="28">
        <f t="shared" si="51"/>
        <v>-500631</v>
      </c>
      <c r="T96" s="28">
        <f t="shared" si="51"/>
        <v>126453</v>
      </c>
      <c r="U96" s="28">
        <f t="shared" si="51"/>
        <v>7770</v>
      </c>
      <c r="V96" s="28">
        <f t="shared" si="51"/>
        <v>0</v>
      </c>
      <c r="W96" s="28">
        <f t="shared" si="51"/>
        <v>7770</v>
      </c>
      <c r="X96" s="28">
        <f t="shared" si="51"/>
        <v>9150</v>
      </c>
      <c r="Y96" s="28">
        <f t="shared" si="51"/>
        <v>0</v>
      </c>
      <c r="Z96" s="28">
        <f t="shared" si="51"/>
        <v>9150</v>
      </c>
      <c r="AA96" s="28">
        <f t="shared" si="51"/>
        <v>2220</v>
      </c>
      <c r="AB96" s="28">
        <f t="shared" si="51"/>
        <v>0</v>
      </c>
      <c r="AC96" s="28">
        <f t="shared" si="51"/>
        <v>2220</v>
      </c>
      <c r="AD96" s="28">
        <f t="shared" si="51"/>
        <v>0</v>
      </c>
      <c r="AE96" s="28">
        <f t="shared" si="51"/>
        <v>0</v>
      </c>
      <c r="AF96" s="28">
        <f t="shared" si="51"/>
        <v>0</v>
      </c>
      <c r="AG96" s="28">
        <f t="shared" si="51"/>
        <v>0</v>
      </c>
      <c r="AH96" s="28">
        <f t="shared" si="51"/>
        <v>0</v>
      </c>
      <c r="AI96" s="28">
        <f t="shared" si="51"/>
        <v>0</v>
      </c>
      <c r="AJ96" s="28">
        <f t="shared" si="51"/>
        <v>0</v>
      </c>
      <c r="AK96" s="28">
        <f t="shared" si="51"/>
        <v>0</v>
      </c>
      <c r="AL96" s="28">
        <f t="shared" si="51"/>
        <v>0</v>
      </c>
      <c r="AM96" s="28">
        <f t="shared" si="51"/>
        <v>0</v>
      </c>
      <c r="AN96" s="28">
        <f t="shared" si="51"/>
        <v>0</v>
      </c>
      <c r="AO96" s="28">
        <f t="shared" si="51"/>
        <v>0</v>
      </c>
    </row>
    <row r="97" spans="1:42" s="58" customFormat="1" ht="18.95" customHeight="1" x14ac:dyDescent="0.3">
      <c r="A97" s="70" t="s">
        <v>81</v>
      </c>
      <c r="B97" s="16"/>
      <c r="C97" s="72">
        <f>C89+C96</f>
        <v>3447830</v>
      </c>
      <c r="D97" s="28"/>
      <c r="E97" s="3"/>
      <c r="F97" s="72">
        <f>F89+F96</f>
        <v>3180979</v>
      </c>
      <c r="G97" s="72">
        <f t="shared" ref="G97:AO97" si="52">G89+G96</f>
        <v>-40232</v>
      </c>
      <c r="H97" s="72">
        <f t="shared" si="52"/>
        <v>3140747</v>
      </c>
      <c r="I97" s="72">
        <f t="shared" si="52"/>
        <v>157804</v>
      </c>
      <c r="J97" s="72">
        <f t="shared" si="52"/>
        <v>0</v>
      </c>
      <c r="K97" s="72">
        <f t="shared" si="52"/>
        <v>157804</v>
      </c>
      <c r="L97" s="72">
        <f t="shared" si="52"/>
        <v>0</v>
      </c>
      <c r="M97" s="72">
        <f t="shared" si="52"/>
        <v>0</v>
      </c>
      <c r="N97" s="72">
        <f t="shared" si="52"/>
        <v>0</v>
      </c>
      <c r="O97" s="72">
        <f t="shared" si="52"/>
        <v>3686</v>
      </c>
      <c r="P97" s="72">
        <f t="shared" si="52"/>
        <v>0</v>
      </c>
      <c r="Q97" s="72">
        <f t="shared" si="52"/>
        <v>3686</v>
      </c>
      <c r="R97" s="72">
        <f t="shared" si="52"/>
        <v>627084</v>
      </c>
      <c r="S97" s="72">
        <f t="shared" si="52"/>
        <v>-500631</v>
      </c>
      <c r="T97" s="72">
        <f t="shared" si="52"/>
        <v>126453</v>
      </c>
      <c r="U97" s="72">
        <f t="shared" si="52"/>
        <v>7770</v>
      </c>
      <c r="V97" s="72">
        <f t="shared" si="52"/>
        <v>0</v>
      </c>
      <c r="W97" s="72">
        <f t="shared" si="52"/>
        <v>7770</v>
      </c>
      <c r="X97" s="72">
        <f t="shared" si="52"/>
        <v>9150</v>
      </c>
      <c r="Y97" s="72">
        <f t="shared" si="52"/>
        <v>0</v>
      </c>
      <c r="Z97" s="72">
        <f t="shared" si="52"/>
        <v>9150</v>
      </c>
      <c r="AA97" s="72">
        <f t="shared" si="52"/>
        <v>2220</v>
      </c>
      <c r="AB97" s="72">
        <f t="shared" si="52"/>
        <v>0</v>
      </c>
      <c r="AC97" s="72">
        <f t="shared" si="52"/>
        <v>2220</v>
      </c>
      <c r="AD97" s="72">
        <f t="shared" si="52"/>
        <v>0</v>
      </c>
      <c r="AE97" s="72">
        <f t="shared" si="52"/>
        <v>0</v>
      </c>
      <c r="AF97" s="72">
        <f t="shared" si="52"/>
        <v>0</v>
      </c>
      <c r="AG97" s="72">
        <f t="shared" si="52"/>
        <v>0</v>
      </c>
      <c r="AH97" s="72">
        <f t="shared" si="52"/>
        <v>0</v>
      </c>
      <c r="AI97" s="72">
        <f t="shared" si="52"/>
        <v>0</v>
      </c>
      <c r="AJ97" s="72">
        <f t="shared" si="52"/>
        <v>0</v>
      </c>
      <c r="AK97" s="72">
        <f t="shared" si="52"/>
        <v>0</v>
      </c>
      <c r="AL97" s="72">
        <f t="shared" si="52"/>
        <v>0</v>
      </c>
      <c r="AM97" s="72">
        <f t="shared" si="52"/>
        <v>0</v>
      </c>
      <c r="AN97" s="72">
        <f t="shared" si="52"/>
        <v>0</v>
      </c>
      <c r="AO97" s="72">
        <f t="shared" si="52"/>
        <v>0</v>
      </c>
      <c r="AP97" s="3"/>
    </row>
    <row r="98" spans="1:42" s="58" customFormat="1" ht="18.95" customHeight="1" x14ac:dyDescent="0.3">
      <c r="A98" s="4"/>
      <c r="B98" s="16"/>
      <c r="C98" s="28"/>
      <c r="D98" s="28"/>
      <c r="E98" s="3"/>
      <c r="F98" s="28"/>
      <c r="G98" s="65"/>
      <c r="H98" s="65"/>
      <c r="I98" s="66"/>
      <c r="J98" s="66"/>
      <c r="K98" s="66"/>
      <c r="L98" s="65"/>
      <c r="M98" s="65"/>
      <c r="N98" s="65"/>
      <c r="O98" s="66"/>
      <c r="P98" s="66"/>
      <c r="Q98" s="66"/>
      <c r="R98" s="65"/>
      <c r="S98" s="65"/>
      <c r="T98" s="65"/>
      <c r="U98" s="66"/>
      <c r="V98" s="66"/>
      <c r="W98" s="66"/>
      <c r="X98" s="65"/>
      <c r="Y98" s="65"/>
      <c r="Z98" s="65"/>
      <c r="AA98" s="66"/>
      <c r="AB98" s="66"/>
      <c r="AC98" s="66"/>
      <c r="AD98" s="65"/>
      <c r="AE98" s="65"/>
      <c r="AF98" s="65"/>
      <c r="AG98" s="66"/>
      <c r="AH98" s="66"/>
      <c r="AI98" s="66"/>
      <c r="AJ98" s="65"/>
      <c r="AK98" s="65"/>
      <c r="AL98" s="65"/>
      <c r="AM98" s="66"/>
      <c r="AN98" s="66"/>
      <c r="AO98" s="66"/>
      <c r="AP98" s="3"/>
    </row>
    <row r="99" spans="1:42" s="58" customFormat="1" ht="18.95" customHeight="1" thickBot="1" x14ac:dyDescent="0.35">
      <c r="A99" s="4" t="s">
        <v>37</v>
      </c>
      <c r="B99" s="16"/>
      <c r="C99" s="17">
        <f>C84+C97</f>
        <v>5930255</v>
      </c>
      <c r="D99" s="28"/>
      <c r="E99" s="3"/>
      <c r="F99" s="17">
        <f>F84+F97</f>
        <v>3990247</v>
      </c>
      <c r="G99" s="17">
        <f t="shared" ref="G99:AO99" si="53">G84+G97</f>
        <v>-40232</v>
      </c>
      <c r="H99" s="17">
        <f t="shared" si="53"/>
        <v>3950015</v>
      </c>
      <c r="I99" s="17">
        <f t="shared" si="53"/>
        <v>416616</v>
      </c>
      <c r="J99" s="17">
        <f t="shared" si="53"/>
        <v>0</v>
      </c>
      <c r="K99" s="17">
        <f t="shared" si="53"/>
        <v>416616</v>
      </c>
      <c r="L99" s="17">
        <f t="shared" si="53"/>
        <v>0</v>
      </c>
      <c r="M99" s="17">
        <f t="shared" si="53"/>
        <v>0</v>
      </c>
      <c r="N99" s="17">
        <f t="shared" si="53"/>
        <v>0</v>
      </c>
      <c r="O99" s="17">
        <f t="shared" si="53"/>
        <v>582790</v>
      </c>
      <c r="P99" s="17">
        <f t="shared" si="53"/>
        <v>0</v>
      </c>
      <c r="Q99" s="17">
        <f t="shared" si="53"/>
        <v>582790</v>
      </c>
      <c r="R99" s="17">
        <f t="shared" si="53"/>
        <v>1326725</v>
      </c>
      <c r="S99" s="17">
        <f t="shared" si="53"/>
        <v>-500631</v>
      </c>
      <c r="T99" s="17">
        <f t="shared" si="53"/>
        <v>826094</v>
      </c>
      <c r="U99" s="17">
        <f t="shared" si="53"/>
        <v>56381</v>
      </c>
      <c r="V99" s="17">
        <f t="shared" si="53"/>
        <v>0</v>
      </c>
      <c r="W99" s="17">
        <f t="shared" si="53"/>
        <v>56381</v>
      </c>
      <c r="X99" s="17">
        <f t="shared" si="53"/>
        <v>64995</v>
      </c>
      <c r="Y99" s="17">
        <f t="shared" si="53"/>
        <v>0</v>
      </c>
      <c r="Z99" s="17">
        <f t="shared" si="53"/>
        <v>64995</v>
      </c>
      <c r="AA99" s="17">
        <f t="shared" si="53"/>
        <v>33364</v>
      </c>
      <c r="AB99" s="17">
        <f t="shared" si="53"/>
        <v>0</v>
      </c>
      <c r="AC99" s="17">
        <f t="shared" si="53"/>
        <v>33364</v>
      </c>
      <c r="AD99" s="17">
        <f t="shared" si="53"/>
        <v>0</v>
      </c>
      <c r="AE99" s="17">
        <f t="shared" si="53"/>
        <v>0</v>
      </c>
      <c r="AF99" s="17">
        <f t="shared" si="53"/>
        <v>0</v>
      </c>
      <c r="AG99" s="17">
        <f t="shared" si="53"/>
        <v>0</v>
      </c>
      <c r="AH99" s="17">
        <f t="shared" si="53"/>
        <v>0</v>
      </c>
      <c r="AI99" s="17">
        <f t="shared" si="53"/>
        <v>0</v>
      </c>
      <c r="AJ99" s="17">
        <f t="shared" si="53"/>
        <v>0</v>
      </c>
      <c r="AK99" s="17">
        <f t="shared" si="53"/>
        <v>0</v>
      </c>
      <c r="AL99" s="17">
        <f t="shared" si="53"/>
        <v>0</v>
      </c>
      <c r="AM99" s="17">
        <f t="shared" si="53"/>
        <v>0</v>
      </c>
      <c r="AN99" s="17">
        <f t="shared" si="53"/>
        <v>0</v>
      </c>
      <c r="AO99" s="17">
        <f t="shared" si="53"/>
        <v>0</v>
      </c>
      <c r="AP99" s="3"/>
    </row>
    <row r="100" spans="1:42" s="58" customFormat="1" ht="15.75" thickTop="1" x14ac:dyDescent="0.2">
      <c r="A100" s="3"/>
      <c r="B100" s="3"/>
      <c r="C100" s="73">
        <f>C74-C99</f>
        <v>0</v>
      </c>
      <c r="D100" s="50"/>
      <c r="E100" s="3"/>
      <c r="F100" s="73">
        <f>F74-F99</f>
        <v>0</v>
      </c>
      <c r="G100" s="73">
        <f t="shared" ref="G100:AO100" si="54">G74-G99</f>
        <v>-57399</v>
      </c>
      <c r="H100" s="73">
        <f t="shared" si="54"/>
        <v>-57399</v>
      </c>
      <c r="I100" s="73">
        <f t="shared" si="54"/>
        <v>0</v>
      </c>
      <c r="J100" s="73">
        <f t="shared" si="54"/>
        <v>0</v>
      </c>
      <c r="K100" s="73">
        <f t="shared" si="54"/>
        <v>0</v>
      </c>
      <c r="L100" s="73">
        <f t="shared" si="54"/>
        <v>0</v>
      </c>
      <c r="M100" s="73">
        <f t="shared" si="54"/>
        <v>0</v>
      </c>
      <c r="N100" s="73">
        <f t="shared" si="54"/>
        <v>0</v>
      </c>
      <c r="O100" s="73">
        <f t="shared" si="54"/>
        <v>0</v>
      </c>
      <c r="P100" s="73">
        <f t="shared" si="54"/>
        <v>-443232</v>
      </c>
      <c r="Q100" s="73">
        <f t="shared" si="54"/>
        <v>-443232</v>
      </c>
      <c r="R100" s="73">
        <f t="shared" si="54"/>
        <v>0</v>
      </c>
      <c r="S100" s="73">
        <f t="shared" si="54"/>
        <v>500631</v>
      </c>
      <c r="T100" s="73">
        <f t="shared" si="54"/>
        <v>500631</v>
      </c>
      <c r="U100" s="73">
        <f t="shared" si="54"/>
        <v>0</v>
      </c>
      <c r="V100" s="73">
        <f t="shared" si="54"/>
        <v>0</v>
      </c>
      <c r="W100" s="73">
        <f t="shared" si="54"/>
        <v>0</v>
      </c>
      <c r="X100" s="73">
        <f t="shared" si="54"/>
        <v>0</v>
      </c>
      <c r="Y100" s="73">
        <f t="shared" si="54"/>
        <v>0</v>
      </c>
      <c r="Z100" s="73">
        <f t="shared" si="54"/>
        <v>0</v>
      </c>
      <c r="AA100" s="73">
        <f t="shared" si="54"/>
        <v>0</v>
      </c>
      <c r="AB100" s="73">
        <f t="shared" si="54"/>
        <v>0</v>
      </c>
      <c r="AC100" s="73">
        <f t="shared" si="54"/>
        <v>0</v>
      </c>
      <c r="AD100" s="73">
        <f t="shared" si="54"/>
        <v>0</v>
      </c>
      <c r="AE100" s="73">
        <f t="shared" si="54"/>
        <v>0</v>
      </c>
      <c r="AF100" s="73">
        <f t="shared" si="54"/>
        <v>0</v>
      </c>
      <c r="AG100" s="73">
        <f t="shared" si="54"/>
        <v>0</v>
      </c>
      <c r="AH100" s="73">
        <f t="shared" si="54"/>
        <v>0</v>
      </c>
      <c r="AI100" s="73">
        <f t="shared" si="54"/>
        <v>0</v>
      </c>
      <c r="AJ100" s="73">
        <f t="shared" si="54"/>
        <v>0</v>
      </c>
      <c r="AK100" s="73">
        <f t="shared" si="54"/>
        <v>0</v>
      </c>
      <c r="AL100" s="73">
        <f t="shared" si="54"/>
        <v>0</v>
      </c>
      <c r="AM100" s="73">
        <f t="shared" si="54"/>
        <v>0</v>
      </c>
      <c r="AN100" s="73">
        <f t="shared" si="54"/>
        <v>0</v>
      </c>
      <c r="AO100" s="73">
        <f t="shared" si="54"/>
        <v>0</v>
      </c>
      <c r="AP100" s="51"/>
    </row>
    <row r="101" spans="1:42" s="58" customFormat="1" x14ac:dyDescent="0.2">
      <c r="A101" s="3"/>
      <c r="B101" s="3"/>
      <c r="C101" s="50"/>
      <c r="D101" s="50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 t="s">
        <v>163</v>
      </c>
      <c r="AO101" s="51">
        <f>SUM(F100:AO100)</f>
        <v>0</v>
      </c>
      <c r="AP101" s="3"/>
    </row>
    <row r="102" spans="1:42" s="58" customFormat="1" x14ac:dyDescent="0.2">
      <c r="A102" s="3"/>
      <c r="B102" s="3"/>
      <c r="C102" s="51"/>
      <c r="D102" s="52"/>
      <c r="E102" s="3"/>
      <c r="F102" s="3"/>
      <c r="G102" s="51">
        <f>SUM(G100)</f>
        <v>-57399</v>
      </c>
      <c r="H102" s="51"/>
      <c r="I102" s="51"/>
      <c r="J102" s="51">
        <f t="shared" ref="J102:AB102" si="55">SUM(J100)</f>
        <v>0</v>
      </c>
      <c r="K102" s="51"/>
      <c r="L102" s="51"/>
      <c r="M102" s="51">
        <f t="shared" si="55"/>
        <v>0</v>
      </c>
      <c r="N102" s="51"/>
      <c r="O102" s="51"/>
      <c r="P102" s="51">
        <f t="shared" si="55"/>
        <v>-443232</v>
      </c>
      <c r="Q102" s="51"/>
      <c r="R102" s="51"/>
      <c r="S102" s="51">
        <f t="shared" si="55"/>
        <v>500631</v>
      </c>
      <c r="T102" s="51"/>
      <c r="U102" s="51"/>
      <c r="V102" s="51">
        <f t="shared" si="55"/>
        <v>0</v>
      </c>
      <c r="W102" s="51"/>
      <c r="X102" s="51"/>
      <c r="Y102" s="51">
        <f t="shared" si="55"/>
        <v>0</v>
      </c>
      <c r="Z102" s="51"/>
      <c r="AA102" s="51"/>
      <c r="AB102" s="51">
        <f t="shared" si="55"/>
        <v>0</v>
      </c>
      <c r="AC102" s="51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2" s="58" customFormat="1" x14ac:dyDescent="0.2">
      <c r="A103" s="15" t="s">
        <v>165</v>
      </c>
      <c r="B103" s="143"/>
      <c r="C103" s="143"/>
      <c r="D103" s="56"/>
      <c r="E103" s="51"/>
      <c r="F103" s="51">
        <f>SUM(G102:AC102)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 s="58" customFormat="1" x14ac:dyDescent="0.2">
      <c r="A104" s="15" t="s">
        <v>166</v>
      </c>
      <c r="B104" s="3"/>
      <c r="C104" s="15"/>
      <c r="D104" s="12"/>
      <c r="E104" s="3"/>
      <c r="F104" s="3"/>
      <c r="G104" s="3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 s="58" customFormat="1" x14ac:dyDescent="0.2">
      <c r="A105" s="15"/>
      <c r="B105" s="3"/>
      <c r="C105" s="15"/>
      <c r="D105" s="12"/>
      <c r="E105" s="3"/>
      <c r="F105" s="51"/>
      <c r="G105" s="3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1:42" s="58" customFormat="1" x14ac:dyDescent="0.2">
      <c r="A106" s="15"/>
      <c r="B106" s="3"/>
      <c r="C106" s="15"/>
      <c r="D106" s="1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2" s="58" customFormat="1" x14ac:dyDescent="0.2">
      <c r="A107" s="15"/>
      <c r="B107" s="3"/>
      <c r="C107" s="15"/>
      <c r="D107" s="1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1:42" s="58" customFormat="1" ht="15.75" x14ac:dyDescent="0.25">
      <c r="A108" s="71" t="s">
        <v>130</v>
      </c>
      <c r="B108" s="3"/>
      <c r="C108" s="15"/>
      <c r="D108" s="1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1:42" s="58" customFormat="1" x14ac:dyDescent="0.2">
      <c r="A109" s="15" t="s">
        <v>131</v>
      </c>
      <c r="B109" s="143"/>
      <c r="C109" s="102">
        <f>F109+I109+L109+O109+R109+U109+X109+AA109+AD109+AG109+AJ109+AM109</f>
        <v>204609.4</v>
      </c>
      <c r="D109" s="56"/>
      <c r="E109" s="3"/>
      <c r="F109" s="3">
        <v>204609.4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1:42" s="58" customFormat="1" x14ac:dyDescent="0.2">
      <c r="A110" s="15" t="s">
        <v>132</v>
      </c>
      <c r="B110" s="143"/>
      <c r="C110" s="102">
        <f>F110+I110+L110+O110+R110+U110+X110+AA110+AD110+AG110+AJ110+AM110</f>
        <v>0</v>
      </c>
      <c r="D110" s="56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1:42" s="58" customFormat="1" x14ac:dyDescent="0.2">
      <c r="A111" s="15" t="s">
        <v>133</v>
      </c>
      <c r="B111" s="143"/>
      <c r="C111" s="102">
        <f t="shared" ref="C111:C123" si="56">F111+I111+L111+O111+R111+U111+X111+AA111+AD111+AG111+AJ111+AM111</f>
        <v>31650</v>
      </c>
      <c r="D111" s="56"/>
      <c r="E111" s="3"/>
      <c r="F111" s="3">
        <v>31650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1:42" s="58" customFormat="1" x14ac:dyDescent="0.2">
      <c r="A112" s="15" t="s">
        <v>134</v>
      </c>
      <c r="B112" s="143"/>
      <c r="C112" s="102">
        <f t="shared" si="56"/>
        <v>40960</v>
      </c>
      <c r="D112" s="56"/>
      <c r="E112" s="3"/>
      <c r="F112" s="3">
        <f>9960+31000</f>
        <v>40960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1:27" s="58" customFormat="1" x14ac:dyDescent="0.2">
      <c r="A113" s="15" t="s">
        <v>146</v>
      </c>
      <c r="B113" s="143"/>
      <c r="C113" s="102">
        <f t="shared" si="56"/>
        <v>0</v>
      </c>
      <c r="D113" s="56"/>
    </row>
    <row r="114" spans="1:27" s="58" customFormat="1" x14ac:dyDescent="0.2">
      <c r="A114" s="15" t="s">
        <v>145</v>
      </c>
      <c r="B114" s="143"/>
      <c r="C114" s="102">
        <f t="shared" si="56"/>
        <v>32800</v>
      </c>
      <c r="D114" s="56"/>
      <c r="R114" s="58">
        <v>32800</v>
      </c>
    </row>
    <row r="115" spans="1:27" s="58" customFormat="1" x14ac:dyDescent="0.2">
      <c r="A115" s="15" t="s">
        <v>135</v>
      </c>
      <c r="B115" s="143"/>
      <c r="C115" s="102">
        <f t="shared" si="56"/>
        <v>106711</v>
      </c>
      <c r="D115" s="56"/>
      <c r="I115" s="58">
        <v>32490</v>
      </c>
      <c r="O115" s="58">
        <v>48921</v>
      </c>
      <c r="R115" s="58">
        <v>25300</v>
      </c>
    </row>
    <row r="116" spans="1:27" s="58" customFormat="1" x14ac:dyDescent="0.2">
      <c r="A116" s="15" t="s">
        <v>136</v>
      </c>
      <c r="B116" s="143"/>
      <c r="C116" s="102">
        <f t="shared" si="56"/>
        <v>17000</v>
      </c>
      <c r="D116" s="56"/>
      <c r="I116" s="58">
        <v>5000</v>
      </c>
      <c r="U116" s="58">
        <v>0</v>
      </c>
      <c r="X116" s="58">
        <v>8000</v>
      </c>
      <c r="AA116" s="58">
        <v>4000</v>
      </c>
    </row>
    <row r="117" spans="1:27" s="58" customFormat="1" x14ac:dyDescent="0.2">
      <c r="A117" s="15" t="s">
        <v>143</v>
      </c>
      <c r="B117" s="143"/>
      <c r="C117" s="102">
        <f t="shared" si="56"/>
        <v>29946.41</v>
      </c>
      <c r="D117" s="56"/>
      <c r="F117" s="58">
        <v>29946.41</v>
      </c>
    </row>
    <row r="118" spans="1:27" s="58" customFormat="1" x14ac:dyDescent="0.2">
      <c r="A118" s="15" t="s">
        <v>140</v>
      </c>
      <c r="B118" s="143"/>
      <c r="C118" s="102">
        <f t="shared" si="56"/>
        <v>19518.13</v>
      </c>
      <c r="D118" s="56"/>
      <c r="F118" s="58">
        <f>17742.04+1776.09</f>
        <v>19518.13</v>
      </c>
    </row>
    <row r="119" spans="1:27" s="58" customFormat="1" x14ac:dyDescent="0.2">
      <c r="A119" s="15" t="s">
        <v>137</v>
      </c>
      <c r="B119" s="143"/>
      <c r="C119" s="102">
        <f t="shared" si="56"/>
        <v>55697</v>
      </c>
      <c r="D119" s="56"/>
      <c r="O119" s="58">
        <v>55697</v>
      </c>
    </row>
    <row r="120" spans="1:27" s="58" customFormat="1" x14ac:dyDescent="0.2">
      <c r="A120" s="15" t="s">
        <v>138</v>
      </c>
      <c r="B120" s="143"/>
      <c r="C120" s="102">
        <f t="shared" si="56"/>
        <v>160905</v>
      </c>
      <c r="D120" s="56"/>
      <c r="O120" s="58">
        <v>160905</v>
      </c>
    </row>
    <row r="121" spans="1:27" s="58" customFormat="1" x14ac:dyDescent="0.2">
      <c r="A121" s="15" t="s">
        <v>144</v>
      </c>
      <c r="B121" s="143"/>
      <c r="C121" s="102">
        <f t="shared" si="56"/>
        <v>0</v>
      </c>
      <c r="D121" s="56"/>
    </row>
    <row r="122" spans="1:27" s="58" customFormat="1" x14ac:dyDescent="0.2">
      <c r="A122" s="15" t="s">
        <v>139</v>
      </c>
      <c r="B122" s="2"/>
      <c r="C122" s="102">
        <f t="shared" si="56"/>
        <v>32800</v>
      </c>
      <c r="D122" s="57"/>
      <c r="R122" s="58">
        <v>32800</v>
      </c>
    </row>
    <row r="123" spans="1:27" s="58" customFormat="1" x14ac:dyDescent="0.2">
      <c r="A123" s="15" t="s">
        <v>141</v>
      </c>
      <c r="B123" s="2"/>
      <c r="C123" s="102">
        <f t="shared" si="56"/>
        <v>6377</v>
      </c>
      <c r="D123" s="57"/>
      <c r="F123" s="58">
        <v>1532</v>
      </c>
      <c r="I123" s="58">
        <v>4845</v>
      </c>
    </row>
    <row r="124" spans="1:27" s="58" customFormat="1" x14ac:dyDescent="0.2">
      <c r="A124" s="3"/>
      <c r="B124" s="2"/>
      <c r="C124" s="103"/>
      <c r="D124" s="57"/>
    </row>
    <row r="125" spans="1:27" s="58" customFormat="1" x14ac:dyDescent="0.2">
      <c r="A125" s="3" t="s">
        <v>142</v>
      </c>
      <c r="B125" s="2"/>
      <c r="C125" s="103">
        <f>SUM(C109:C124)</f>
        <v>738973.94</v>
      </c>
      <c r="D125" s="57"/>
      <c r="F125" s="103">
        <f>SUM(F109:F124)</f>
        <v>328215.94</v>
      </c>
      <c r="I125" s="103"/>
      <c r="O125" s="103"/>
      <c r="R125" s="103"/>
    </row>
    <row r="126" spans="1:27" s="58" customFormat="1" x14ac:dyDescent="0.2">
      <c r="A126" s="3"/>
      <c r="B126" s="2"/>
      <c r="C126" s="2"/>
      <c r="D126" s="57"/>
    </row>
    <row r="127" spans="1:27" s="58" customFormat="1" x14ac:dyDescent="0.2">
      <c r="A127" s="3"/>
      <c r="B127" s="2"/>
      <c r="C127" s="2"/>
      <c r="D127" s="57"/>
    </row>
    <row r="128" spans="1:27" s="58" customFormat="1" x14ac:dyDescent="0.2">
      <c r="A128" s="3"/>
      <c r="B128" s="2"/>
      <c r="C128" s="2"/>
      <c r="D128" s="57"/>
    </row>
    <row r="129" spans="1:27" s="58" customFormat="1" x14ac:dyDescent="0.2">
      <c r="A129" s="3" t="s">
        <v>155</v>
      </c>
      <c r="B129" s="2"/>
      <c r="C129" s="102">
        <f>F129+I129+L129+O129+R129+U129+X129+AA129+AD129+AG129+AJ129+AM129</f>
        <v>0</v>
      </c>
      <c r="D129" s="57"/>
    </row>
    <row r="130" spans="1:27" s="58" customFormat="1" x14ac:dyDescent="0.2">
      <c r="A130" s="3"/>
      <c r="B130" s="2"/>
      <c r="C130" s="2"/>
      <c r="D130" s="57"/>
      <c r="F130" s="127"/>
      <c r="I130" s="127">
        <f>I27-I109-I110-I111-I112-I113-I114-I115-I116-I117-I118-I119-I120-I121-I122-I123-I124-I125-I126-I127</f>
        <v>0</v>
      </c>
      <c r="L130" s="127">
        <f>L27-L109-L110-L111-L112-L113-L114-L115-L116-L117-L118-L119-L120-L121-L122-L123-L124-L125-L126-L127</f>
        <v>0</v>
      </c>
      <c r="O130" s="127">
        <f>O27-O109-O110-O111-O112-O113-O114-O115-O116-O117-O118-O119-O120-O121-O122-O123-O124-O125-O126-O127</f>
        <v>0</v>
      </c>
      <c r="R130" s="127">
        <f>R27-R109-R110-R111-R112-R113-R114-R115-R116-R117-R118-R119-R120-R121-R122-R123-R124-R125-R126-R127</f>
        <v>-32800</v>
      </c>
      <c r="U130" s="127">
        <f>U27-U109-U110-U111-U112-U113-U114-U115-U116-U117-U118-U119-U120-U121-U122-U123-U124-U125-U126-U127</f>
        <v>0</v>
      </c>
      <c r="X130" s="127">
        <f>X27-X109-X110-X111-X112-X113-X114-X115-X116-X117-X118-X119-X120-X121-X122-X123-X124-X125-X126-X127</f>
        <v>0</v>
      </c>
      <c r="AA130" s="127">
        <f>AA27-AA109-AA110-AA111-AA112-AA113-AA114-AA115-AA116-AA117-AA118-AA119-AA120-AA121-AA122-AA123-AA124-AA125-AA126-AA127</f>
        <v>0</v>
      </c>
    </row>
    <row r="131" spans="1:27" s="58" customFormat="1" x14ac:dyDescent="0.2">
      <c r="A131" s="3"/>
      <c r="B131" s="2"/>
      <c r="C131" s="2"/>
      <c r="D131" s="57"/>
    </row>
    <row r="132" spans="1:27" s="58" customFormat="1" x14ac:dyDescent="0.2">
      <c r="A132" s="3"/>
      <c r="B132" s="2"/>
      <c r="C132" s="2"/>
      <c r="D132" s="57"/>
    </row>
    <row r="133" spans="1:27" s="58" customFormat="1" x14ac:dyDescent="0.2">
      <c r="A133" s="3"/>
      <c r="B133" s="2"/>
      <c r="C133" s="2"/>
      <c r="D133" s="57"/>
    </row>
    <row r="134" spans="1:27" s="58" customFormat="1" x14ac:dyDescent="0.2">
      <c r="A134" s="3"/>
      <c r="B134" s="2"/>
      <c r="C134" s="2"/>
      <c r="D134" s="57"/>
    </row>
    <row r="135" spans="1:27" s="58" customFormat="1" x14ac:dyDescent="0.2">
      <c r="A135" s="3"/>
      <c r="B135" s="2"/>
      <c r="C135" s="2"/>
      <c r="D135" s="57"/>
    </row>
    <row r="136" spans="1:27" s="58" customFormat="1" x14ac:dyDescent="0.2">
      <c r="A136" s="3"/>
      <c r="B136" s="2"/>
      <c r="C136" s="2"/>
      <c r="D136" s="57"/>
    </row>
    <row r="137" spans="1:27" s="58" customFormat="1" x14ac:dyDescent="0.2">
      <c r="A137" s="3"/>
      <c r="B137" s="2"/>
      <c r="C137" s="2"/>
      <c r="D137" s="2"/>
    </row>
    <row r="138" spans="1:27" s="58" customFormat="1" x14ac:dyDescent="0.2">
      <c r="A138" s="3"/>
      <c r="B138" s="2"/>
      <c r="C138" s="2"/>
      <c r="D138" s="2"/>
    </row>
    <row r="139" spans="1:27" s="58" customFormat="1" x14ac:dyDescent="0.2">
      <c r="A139" s="3"/>
      <c r="B139" s="2"/>
      <c r="C139" s="2"/>
      <c r="D139" s="2"/>
    </row>
    <row r="140" spans="1:27" s="58" customFormat="1" x14ac:dyDescent="0.2">
      <c r="A140" s="3"/>
      <c r="B140" s="2"/>
      <c r="C140" s="2"/>
      <c r="D140" s="2"/>
    </row>
    <row r="141" spans="1:27" s="58" customFormat="1" x14ac:dyDescent="0.2">
      <c r="A141" s="3"/>
      <c r="B141" s="2"/>
      <c r="C141" s="2"/>
      <c r="D141" s="2"/>
    </row>
    <row r="142" spans="1:27" s="58" customFormat="1" x14ac:dyDescent="0.2">
      <c r="A142" s="3"/>
      <c r="B142" s="2"/>
      <c r="C142" s="2"/>
      <c r="D142" s="2"/>
    </row>
    <row r="143" spans="1:27" s="58" customFormat="1" x14ac:dyDescent="0.2">
      <c r="A143" s="3"/>
      <c r="B143" s="2"/>
      <c r="C143" s="2"/>
      <c r="D143" s="2"/>
    </row>
    <row r="144" spans="1:27" s="58" customFormat="1" x14ac:dyDescent="0.2">
      <c r="A144" s="3"/>
      <c r="B144" s="2"/>
      <c r="C144" s="2"/>
      <c r="D144" s="2"/>
    </row>
    <row r="145" spans="2:4" s="58" customFormat="1" x14ac:dyDescent="0.2">
      <c r="B145" s="2"/>
      <c r="C145" s="2"/>
      <c r="D145" s="2"/>
    </row>
    <row r="146" spans="2:4" s="58" customFormat="1" x14ac:dyDescent="0.2">
      <c r="B146" s="2"/>
      <c r="C146" s="2"/>
      <c r="D146" s="2"/>
    </row>
    <row r="147" spans="2:4" s="58" customFormat="1" x14ac:dyDescent="0.2">
      <c r="B147" s="2"/>
      <c r="C147" s="2"/>
      <c r="D147" s="2"/>
    </row>
    <row r="148" spans="2:4" s="58" customFormat="1" x14ac:dyDescent="0.2">
      <c r="B148" s="2"/>
      <c r="C148" s="2"/>
      <c r="D148" s="2"/>
    </row>
    <row r="149" spans="2:4" s="58" customFormat="1" x14ac:dyDescent="0.2">
      <c r="B149" s="2"/>
      <c r="C149" s="2"/>
      <c r="D149" s="2"/>
    </row>
    <row r="150" spans="2:4" s="58" customFormat="1" x14ac:dyDescent="0.2">
      <c r="B150" s="2"/>
      <c r="C150" s="2"/>
      <c r="D150" s="2"/>
    </row>
    <row r="151" spans="2:4" s="58" customFormat="1" x14ac:dyDescent="0.2">
      <c r="B151" s="2"/>
      <c r="C151" s="2"/>
      <c r="D151" s="2"/>
    </row>
    <row r="152" spans="2:4" s="58" customFormat="1" x14ac:dyDescent="0.2">
      <c r="B152" s="2"/>
      <c r="C152" s="2"/>
      <c r="D152" s="2"/>
    </row>
    <row r="153" spans="2:4" s="58" customFormat="1" x14ac:dyDescent="0.2">
      <c r="B153" s="2"/>
      <c r="C153" s="2"/>
      <c r="D153" s="2"/>
    </row>
    <row r="154" spans="2:4" s="58" customFormat="1" x14ac:dyDescent="0.2">
      <c r="B154" s="2"/>
      <c r="C154" s="2"/>
      <c r="D154" s="2"/>
    </row>
    <row r="155" spans="2:4" s="58" customFormat="1" x14ac:dyDescent="0.2">
      <c r="B155" s="2"/>
      <c r="C155" s="2"/>
      <c r="D155" s="2"/>
    </row>
    <row r="156" spans="2:4" s="58" customFormat="1" x14ac:dyDescent="0.2">
      <c r="B156" s="2"/>
      <c r="C156" s="2"/>
      <c r="D156" s="2"/>
    </row>
    <row r="157" spans="2:4" s="58" customFormat="1" x14ac:dyDescent="0.2">
      <c r="B157" s="2"/>
      <c r="C157" s="2"/>
      <c r="D157" s="2"/>
    </row>
    <row r="158" spans="2:4" s="58" customFormat="1" x14ac:dyDescent="0.2">
      <c r="B158" s="2"/>
      <c r="C158" s="2"/>
      <c r="D158" s="2"/>
    </row>
    <row r="159" spans="2:4" s="58" customFormat="1" x14ac:dyDescent="0.2">
      <c r="B159" s="2"/>
      <c r="C159" s="2"/>
      <c r="D159" s="2"/>
    </row>
    <row r="160" spans="2:4" s="58" customFormat="1" x14ac:dyDescent="0.2">
      <c r="B160" s="2"/>
      <c r="C160" s="2"/>
      <c r="D160" s="2"/>
    </row>
    <row r="161" spans="2:4" s="58" customFormat="1" x14ac:dyDescent="0.2">
      <c r="B161" s="2"/>
      <c r="C161" s="2"/>
      <c r="D161" s="2"/>
    </row>
    <row r="162" spans="2:4" s="58" customFormat="1" x14ac:dyDescent="0.2">
      <c r="B162" s="2"/>
      <c r="C162" s="2"/>
      <c r="D162" s="2"/>
    </row>
    <row r="163" spans="2:4" s="58" customFormat="1" x14ac:dyDescent="0.2">
      <c r="B163" s="2"/>
      <c r="C163" s="2"/>
      <c r="D163" s="2"/>
    </row>
    <row r="164" spans="2:4" s="58" customFormat="1" x14ac:dyDescent="0.2">
      <c r="B164" s="2"/>
      <c r="C164" s="2"/>
      <c r="D164" s="2"/>
    </row>
  </sheetData>
  <mergeCells count="12">
    <mergeCell ref="AM3:AO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</mergeCells>
  <printOptions horizontalCentered="1"/>
  <pageMargins left="0.19685039370078741" right="3.937007874015748E-2" top="0.19685039370078741" bottom="0.19685039370078741" header="0" footer="0"/>
  <pageSetup paperSize="9" scale="35" firstPageNumber="2" orientation="landscape" cellComments="asDisplayed" r:id="rId1"/>
  <headerFooter alignWithMargins="0"/>
  <colBreaks count="2" manualBreakCount="2">
    <brk id="14" max="100" man="1"/>
    <brk id="29" max="100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A164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1" sqref="A21"/>
    </sheetView>
  </sheetViews>
  <sheetFormatPr baseColWidth="10" defaultColWidth="12.42578125" defaultRowHeight="15" x14ac:dyDescent="0.2"/>
  <cols>
    <col min="1" max="1" width="44.7109375" style="3" customWidth="1"/>
    <col min="2" max="2" width="9" style="3" hidden="1" customWidth="1"/>
    <col min="3" max="3" width="16.28515625" style="3" customWidth="1"/>
    <col min="4" max="4" width="16.28515625" style="3" hidden="1" customWidth="1"/>
    <col min="5" max="5" width="12.42578125" style="3" customWidth="1"/>
    <col min="6" max="6" width="14.85546875" style="3" customWidth="1"/>
    <col min="7" max="7" width="15.85546875" style="3" customWidth="1"/>
    <col min="8" max="8" width="14.85546875" style="3" customWidth="1"/>
    <col min="9" max="9" width="15.5703125" style="3" bestFit="1" customWidth="1"/>
    <col min="10" max="10" width="15.85546875" style="3" customWidth="1"/>
    <col min="11" max="11" width="14" style="3" bestFit="1" customWidth="1"/>
    <col min="12" max="12" width="14.85546875" style="3" customWidth="1"/>
    <col min="13" max="13" width="10.85546875" style="3" bestFit="1" customWidth="1"/>
    <col min="14" max="15" width="14.85546875" style="3" customWidth="1"/>
    <col min="16" max="16" width="13" style="3" customWidth="1"/>
    <col min="17" max="17" width="14.85546875" style="3" customWidth="1"/>
    <col min="18" max="20" width="13.42578125" style="3" customWidth="1"/>
    <col min="21" max="21" width="13.42578125" style="3" bestFit="1" customWidth="1"/>
    <col min="22" max="22" width="10.85546875" style="3" bestFit="1" customWidth="1"/>
    <col min="23" max="23" width="13.42578125" style="3" bestFit="1" customWidth="1"/>
    <col min="24" max="24" width="12.5703125" style="3" bestFit="1" customWidth="1"/>
    <col min="25" max="25" width="10.85546875" style="3" bestFit="1" customWidth="1"/>
    <col min="26" max="26" width="12.5703125" style="3" bestFit="1" customWidth="1"/>
    <col min="27" max="27" width="11.5703125" style="3" bestFit="1" customWidth="1"/>
    <col min="28" max="28" width="10.85546875" style="3" bestFit="1" customWidth="1"/>
    <col min="29" max="29" width="16" style="3" customWidth="1"/>
    <col min="30" max="41" width="9" style="3" hidden="1" customWidth="1"/>
    <col min="42" max="43" width="33" style="3" customWidth="1"/>
    <col min="44" max="235" width="12.42578125" style="3" customWidth="1"/>
    <col min="236" max="16384" width="12.42578125" style="58"/>
  </cols>
  <sheetData>
    <row r="1" spans="1:41" s="58" customFormat="1" ht="30" x14ac:dyDescent="0.4">
      <c r="A1" s="1" t="s">
        <v>39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s="58" customFormat="1" ht="6.95" customHeight="1" x14ac:dyDescent="0.2">
      <c r="A2" s="3"/>
      <c r="B2" s="2"/>
      <c r="C2" s="2"/>
      <c r="D2" s="2"/>
      <c r="E2" s="3"/>
      <c r="F2" s="3"/>
      <c r="G2" s="3"/>
      <c r="H2" s="3"/>
      <c r="I2" s="3"/>
      <c r="J2" s="123"/>
      <c r="K2" s="3"/>
      <c r="L2" s="3"/>
      <c r="M2" s="3"/>
      <c r="N2" s="3"/>
      <c r="O2" s="3"/>
      <c r="P2" s="123"/>
      <c r="Q2" s="3"/>
      <c r="R2" s="3"/>
      <c r="S2" s="12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s="58" customFormat="1" x14ac:dyDescent="0.2">
      <c r="A3" s="4" t="s">
        <v>0</v>
      </c>
      <c r="B3" s="131"/>
      <c r="C3" s="131"/>
      <c r="D3" s="131"/>
      <c r="E3" s="3"/>
      <c r="F3" s="162" t="s">
        <v>41</v>
      </c>
      <c r="G3" s="162"/>
      <c r="H3" s="162"/>
      <c r="I3" s="163" t="s">
        <v>45</v>
      </c>
      <c r="J3" s="163"/>
      <c r="K3" s="163"/>
      <c r="L3" s="162" t="s">
        <v>172</v>
      </c>
      <c r="M3" s="162"/>
      <c r="N3" s="162"/>
      <c r="O3" s="163" t="s">
        <v>43</v>
      </c>
      <c r="P3" s="163"/>
      <c r="Q3" s="163"/>
      <c r="R3" s="162" t="s">
        <v>44</v>
      </c>
      <c r="S3" s="162"/>
      <c r="T3" s="162"/>
      <c r="U3" s="163" t="s">
        <v>51</v>
      </c>
      <c r="V3" s="163"/>
      <c r="W3" s="163"/>
      <c r="X3" s="162" t="s">
        <v>161</v>
      </c>
      <c r="Y3" s="162"/>
      <c r="Z3" s="162"/>
      <c r="AA3" s="163" t="s">
        <v>48</v>
      </c>
      <c r="AB3" s="163"/>
      <c r="AC3" s="163"/>
      <c r="AD3" s="162"/>
      <c r="AE3" s="162"/>
      <c r="AF3" s="162"/>
      <c r="AG3" s="163"/>
      <c r="AH3" s="163"/>
      <c r="AI3" s="163"/>
      <c r="AJ3" s="162"/>
      <c r="AK3" s="162"/>
      <c r="AL3" s="162"/>
      <c r="AM3" s="163"/>
      <c r="AN3" s="163"/>
      <c r="AO3" s="163"/>
    </row>
    <row r="4" spans="1:41" s="58" customFormat="1" x14ac:dyDescent="0.2">
      <c r="A4" s="6" t="s">
        <v>1</v>
      </c>
      <c r="B4" s="131"/>
      <c r="C4" s="7">
        <v>2015</v>
      </c>
      <c r="D4" s="8" t="s">
        <v>2</v>
      </c>
      <c r="E4" s="3"/>
      <c r="F4" s="62">
        <f>$C$4</f>
        <v>2015</v>
      </c>
      <c r="G4" s="63" t="s">
        <v>38</v>
      </c>
      <c r="H4" s="63" t="s">
        <v>40</v>
      </c>
      <c r="I4" s="61">
        <f>F4</f>
        <v>2015</v>
      </c>
      <c r="J4" s="60" t="s">
        <v>38</v>
      </c>
      <c r="K4" s="60" t="s">
        <v>40</v>
      </c>
      <c r="L4" s="62">
        <v>2015</v>
      </c>
      <c r="M4" s="63" t="s">
        <v>38</v>
      </c>
      <c r="N4" s="63" t="s">
        <v>40</v>
      </c>
      <c r="O4" s="61">
        <v>2015</v>
      </c>
      <c r="P4" s="60" t="s">
        <v>38</v>
      </c>
      <c r="Q4" s="60" t="s">
        <v>40</v>
      </c>
      <c r="R4" s="62">
        <v>2015</v>
      </c>
      <c r="S4" s="63" t="s">
        <v>38</v>
      </c>
      <c r="T4" s="63" t="s">
        <v>40</v>
      </c>
      <c r="U4" s="61">
        <v>2015</v>
      </c>
      <c r="V4" s="60" t="s">
        <v>38</v>
      </c>
      <c r="W4" s="60" t="s">
        <v>40</v>
      </c>
      <c r="X4" s="62">
        <v>2015</v>
      </c>
      <c r="Y4" s="63" t="s">
        <v>38</v>
      </c>
      <c r="Z4" s="63" t="s">
        <v>40</v>
      </c>
      <c r="AA4" s="61">
        <v>2015</v>
      </c>
      <c r="AB4" s="60" t="s">
        <v>38</v>
      </c>
      <c r="AC4" s="60" t="s">
        <v>40</v>
      </c>
      <c r="AD4" s="62"/>
      <c r="AE4" s="63" t="s">
        <v>38</v>
      </c>
      <c r="AF4" s="63" t="s">
        <v>40</v>
      </c>
      <c r="AG4" s="61"/>
      <c r="AH4" s="60" t="s">
        <v>38</v>
      </c>
      <c r="AI4" s="60" t="s">
        <v>40</v>
      </c>
      <c r="AJ4" s="62"/>
      <c r="AK4" s="63" t="s">
        <v>38</v>
      </c>
      <c r="AL4" s="63" t="s">
        <v>40</v>
      </c>
      <c r="AM4" s="61"/>
      <c r="AN4" s="60" t="s">
        <v>38</v>
      </c>
      <c r="AO4" s="60" t="s">
        <v>40</v>
      </c>
    </row>
    <row r="5" spans="1:41" s="58" customFormat="1" ht="17.100000000000001" customHeight="1" x14ac:dyDescent="0.25">
      <c r="A5" s="9" t="s">
        <v>3</v>
      </c>
      <c r="B5" s="10" t="s">
        <v>4</v>
      </c>
      <c r="C5" s="11"/>
      <c r="D5" s="11" t="s">
        <v>2</v>
      </c>
      <c r="E5" s="3"/>
      <c r="F5" s="65"/>
      <c r="G5" s="65"/>
      <c r="H5" s="65"/>
      <c r="I5" s="66"/>
      <c r="J5" s="66"/>
      <c r="K5" s="66"/>
      <c r="L5" s="65"/>
      <c r="M5" s="65"/>
      <c r="N5" s="65"/>
      <c r="O5" s="66"/>
      <c r="P5" s="66"/>
      <c r="Q5" s="66"/>
      <c r="R5" s="65"/>
      <c r="S5" s="65"/>
      <c r="T5" s="65"/>
      <c r="U5" s="66"/>
      <c r="V5" s="66"/>
      <c r="W5" s="66"/>
      <c r="X5" s="65"/>
      <c r="Y5" s="65"/>
      <c r="Z5" s="65"/>
      <c r="AA5" s="66"/>
      <c r="AB5" s="66"/>
      <c r="AC5" s="66"/>
      <c r="AD5" s="65"/>
      <c r="AE5" s="65"/>
      <c r="AF5" s="65"/>
      <c r="AG5" s="66"/>
      <c r="AH5" s="66"/>
      <c r="AI5" s="66"/>
      <c r="AJ5" s="65"/>
      <c r="AK5" s="65"/>
      <c r="AL5" s="65"/>
      <c r="AM5" s="66"/>
      <c r="AN5" s="66"/>
      <c r="AO5" s="66"/>
    </row>
    <row r="6" spans="1:41" s="58" customFormat="1" ht="9" customHeight="1" x14ac:dyDescent="0.2">
      <c r="A6" s="12"/>
      <c r="B6" s="13"/>
      <c r="C6" s="12"/>
      <c r="D6" s="12"/>
      <c r="E6" s="3"/>
      <c r="F6" s="65"/>
      <c r="G6" s="65"/>
      <c r="H6" s="65"/>
      <c r="I6" s="66"/>
      <c r="J6" s="66"/>
      <c r="K6" s="66"/>
      <c r="L6" s="65"/>
      <c r="M6" s="65"/>
      <c r="N6" s="65"/>
      <c r="O6" s="66"/>
      <c r="P6" s="66"/>
      <c r="Q6" s="66"/>
      <c r="R6" s="65"/>
      <c r="S6" s="65"/>
      <c r="T6" s="65"/>
      <c r="U6" s="66"/>
      <c r="V6" s="66"/>
      <c r="W6" s="66"/>
      <c r="X6" s="65"/>
      <c r="Y6" s="65"/>
      <c r="Z6" s="65"/>
      <c r="AA6" s="66"/>
      <c r="AB6" s="66"/>
      <c r="AC6" s="66"/>
      <c r="AD6" s="65"/>
      <c r="AE6" s="65"/>
      <c r="AF6" s="65"/>
      <c r="AG6" s="66"/>
      <c r="AH6" s="66"/>
      <c r="AI6" s="66"/>
      <c r="AJ6" s="65"/>
      <c r="AK6" s="65"/>
      <c r="AL6" s="65"/>
      <c r="AM6" s="66"/>
      <c r="AN6" s="66"/>
      <c r="AO6" s="66"/>
    </row>
    <row r="7" spans="1:41" s="58" customFormat="1" ht="17.25" customHeight="1" x14ac:dyDescent="0.2">
      <c r="A7" s="64" t="s">
        <v>82</v>
      </c>
      <c r="B7" s="13"/>
      <c r="C7" s="14">
        <f>H7+K7+N7+Q7+T7+W7+Z7+AC7+AF7+AI7+AL7</f>
        <v>295955</v>
      </c>
      <c r="D7" s="14">
        <v>60000</v>
      </c>
      <c r="E7" s="3"/>
      <c r="F7" s="132">
        <v>0</v>
      </c>
      <c r="G7" s="65"/>
      <c r="H7" s="65">
        <f t="shared" ref="H7:H41" si="0">F7+G7</f>
        <v>0</v>
      </c>
      <c r="I7" s="132">
        <v>71926</v>
      </c>
      <c r="J7" s="66"/>
      <c r="K7" s="66">
        <f t="shared" ref="K7:K41" si="1">I7+J7</f>
        <v>71926</v>
      </c>
      <c r="L7" s="132"/>
      <c r="M7" s="65"/>
      <c r="N7" s="65">
        <f t="shared" ref="N7:N41" si="2">L7+M7</f>
        <v>0</v>
      </c>
      <c r="O7" s="132">
        <v>83049</v>
      </c>
      <c r="P7" s="66"/>
      <c r="Q7" s="66">
        <f t="shared" ref="Q7:Q41" si="3">O7+P7</f>
        <v>83049</v>
      </c>
      <c r="R7" s="132">
        <v>140980</v>
      </c>
      <c r="S7" s="65"/>
      <c r="T7" s="65">
        <f t="shared" ref="T7:T41" si="4">R7+S7</f>
        <v>140980</v>
      </c>
      <c r="U7" s="66"/>
      <c r="V7" s="66"/>
      <c r="W7" s="66">
        <f t="shared" ref="W7:W41" si="5">U7+V7</f>
        <v>0</v>
      </c>
      <c r="X7" s="65"/>
      <c r="Y7" s="65"/>
      <c r="Z7" s="65">
        <f t="shared" ref="Z7:Z41" si="6">X7+Y7</f>
        <v>0</v>
      </c>
      <c r="AA7" s="66"/>
      <c r="AB7" s="66"/>
      <c r="AC7" s="66">
        <f t="shared" ref="AC7:AC41" si="7">AA7+AB7</f>
        <v>0</v>
      </c>
      <c r="AD7" s="65"/>
      <c r="AE7" s="65"/>
      <c r="AF7" s="65">
        <f t="shared" ref="AF7:AF41" si="8">AD7+AE7</f>
        <v>0</v>
      </c>
      <c r="AG7" s="66"/>
      <c r="AH7" s="66"/>
      <c r="AI7" s="66">
        <f t="shared" ref="AI7:AI41" si="9">AG7+AH7</f>
        <v>0</v>
      </c>
      <c r="AJ7" s="65"/>
      <c r="AK7" s="65"/>
      <c r="AL7" s="65">
        <f t="shared" ref="AL7:AL41" si="10">AJ7+AK7</f>
        <v>0</v>
      </c>
      <c r="AM7" s="66"/>
      <c r="AN7" s="66"/>
      <c r="AO7" s="66">
        <f t="shared" ref="AO7" si="11">AM7+AN7</f>
        <v>0</v>
      </c>
    </row>
    <row r="8" spans="1:41" s="58" customFormat="1" ht="17.25" customHeight="1" x14ac:dyDescent="0.2">
      <c r="A8" s="64" t="s">
        <v>96</v>
      </c>
      <c r="B8" s="13"/>
      <c r="C8" s="14">
        <f t="shared" ref="C8:C10" si="12">H8+K8+N8+Q8+T8+W8+Z8+AC8+AF8+AI8+AL8</f>
        <v>164581</v>
      </c>
      <c r="D8" s="14"/>
      <c r="E8" s="3"/>
      <c r="F8" s="132"/>
      <c r="G8" s="65"/>
      <c r="H8" s="65">
        <f t="shared" si="0"/>
        <v>0</v>
      </c>
      <c r="I8" s="132">
        <v>71650</v>
      </c>
      <c r="J8" s="66"/>
      <c r="K8" s="66">
        <f t="shared" si="1"/>
        <v>71650</v>
      </c>
      <c r="L8" s="132"/>
      <c r="M8" s="65"/>
      <c r="N8" s="65">
        <f>L8+M8</f>
        <v>0</v>
      </c>
      <c r="O8" s="132">
        <v>0</v>
      </c>
      <c r="P8" s="66"/>
      <c r="Q8" s="66">
        <f t="shared" si="3"/>
        <v>0</v>
      </c>
      <c r="R8" s="132">
        <v>92931</v>
      </c>
      <c r="S8" s="65"/>
      <c r="T8" s="65">
        <f t="shared" si="4"/>
        <v>92931</v>
      </c>
      <c r="U8" s="132"/>
      <c r="V8" s="66"/>
      <c r="W8" s="66">
        <f t="shared" si="5"/>
        <v>0</v>
      </c>
      <c r="X8" s="132"/>
      <c r="Y8" s="65"/>
      <c r="Z8" s="65">
        <f t="shared" si="6"/>
        <v>0</v>
      </c>
      <c r="AA8" s="132"/>
      <c r="AB8" s="66"/>
      <c r="AC8" s="66">
        <f t="shared" si="7"/>
        <v>0</v>
      </c>
      <c r="AD8" s="65"/>
      <c r="AE8" s="65"/>
      <c r="AF8" s="65"/>
      <c r="AG8" s="66"/>
      <c r="AH8" s="66"/>
      <c r="AI8" s="66"/>
      <c r="AJ8" s="65"/>
      <c r="AK8" s="65"/>
      <c r="AL8" s="65"/>
      <c r="AM8" s="66"/>
      <c r="AN8" s="66"/>
      <c r="AO8" s="66"/>
    </row>
    <row r="9" spans="1:41" s="58" customFormat="1" ht="17.25" customHeight="1" x14ac:dyDescent="0.2">
      <c r="A9" s="64" t="s">
        <v>84</v>
      </c>
      <c r="B9" s="13"/>
      <c r="C9" s="14">
        <f t="shared" si="12"/>
        <v>136450</v>
      </c>
      <c r="D9" s="14"/>
      <c r="E9" s="3"/>
      <c r="F9" s="132"/>
      <c r="G9" s="65"/>
      <c r="H9" s="65">
        <f t="shared" si="0"/>
        <v>0</v>
      </c>
      <c r="I9" s="132">
        <v>121330</v>
      </c>
      <c r="J9" s="66"/>
      <c r="K9" s="66">
        <f t="shared" si="1"/>
        <v>121330</v>
      </c>
      <c r="L9" s="132"/>
      <c r="M9" s="65"/>
      <c r="N9" s="65">
        <f>L9+M9</f>
        <v>0</v>
      </c>
      <c r="O9" s="132"/>
      <c r="P9" s="66"/>
      <c r="Q9" s="66">
        <f t="shared" si="3"/>
        <v>0</v>
      </c>
      <c r="R9" s="132"/>
      <c r="S9" s="65"/>
      <c r="T9" s="65">
        <f t="shared" si="4"/>
        <v>0</v>
      </c>
      <c r="U9" s="132">
        <v>15120</v>
      </c>
      <c r="V9" s="66"/>
      <c r="W9" s="66">
        <f t="shared" si="5"/>
        <v>15120</v>
      </c>
      <c r="X9" s="132"/>
      <c r="Y9" s="65"/>
      <c r="Z9" s="65">
        <f t="shared" si="6"/>
        <v>0</v>
      </c>
      <c r="AA9" s="132"/>
      <c r="AB9" s="66"/>
      <c r="AC9" s="66">
        <f t="shared" si="7"/>
        <v>0</v>
      </c>
      <c r="AD9" s="65"/>
      <c r="AE9" s="65"/>
      <c r="AF9" s="65"/>
      <c r="AG9" s="66"/>
      <c r="AH9" s="66"/>
      <c r="AI9" s="66"/>
      <c r="AJ9" s="65"/>
      <c r="AK9" s="65"/>
      <c r="AL9" s="65"/>
      <c r="AM9" s="66"/>
      <c r="AN9" s="66"/>
      <c r="AO9" s="66"/>
    </row>
    <row r="10" spans="1:41" s="58" customFormat="1" ht="17.25" customHeight="1" x14ac:dyDescent="0.2">
      <c r="A10" s="64" t="s">
        <v>86</v>
      </c>
      <c r="B10" s="13"/>
      <c r="C10" s="14">
        <f t="shared" si="12"/>
        <v>944831</v>
      </c>
      <c r="D10" s="14"/>
      <c r="E10" s="3"/>
      <c r="F10" s="132"/>
      <c r="G10" s="65"/>
      <c r="H10" s="65">
        <f t="shared" si="0"/>
        <v>0</v>
      </c>
      <c r="I10" s="132">
        <v>68031</v>
      </c>
      <c r="J10" s="66"/>
      <c r="K10" s="66">
        <f t="shared" si="1"/>
        <v>68031</v>
      </c>
      <c r="L10" s="132"/>
      <c r="M10" s="65"/>
      <c r="N10" s="65">
        <f>L10+M10</f>
        <v>0</v>
      </c>
      <c r="O10" s="132"/>
      <c r="P10" s="66"/>
      <c r="Q10" s="66">
        <f t="shared" si="3"/>
        <v>0</v>
      </c>
      <c r="R10" s="132">
        <v>876800</v>
      </c>
      <c r="S10" s="65"/>
      <c r="T10" s="65">
        <f t="shared" si="4"/>
        <v>876800</v>
      </c>
      <c r="U10" s="132"/>
      <c r="V10" s="66"/>
      <c r="W10" s="66">
        <f t="shared" si="5"/>
        <v>0</v>
      </c>
      <c r="X10" s="132"/>
      <c r="Y10" s="65"/>
      <c r="Z10" s="65">
        <f t="shared" si="6"/>
        <v>0</v>
      </c>
      <c r="AA10" s="132"/>
      <c r="AB10" s="66"/>
      <c r="AC10" s="66">
        <f t="shared" si="7"/>
        <v>0</v>
      </c>
      <c r="AD10" s="65"/>
      <c r="AE10" s="65"/>
      <c r="AF10" s="65"/>
      <c r="AG10" s="66"/>
      <c r="AH10" s="66"/>
      <c r="AI10" s="66"/>
      <c r="AJ10" s="65"/>
      <c r="AK10" s="65"/>
      <c r="AL10" s="65"/>
      <c r="AM10" s="66"/>
      <c r="AN10" s="66"/>
      <c r="AO10" s="66"/>
    </row>
    <row r="11" spans="1:41" s="58" customFormat="1" ht="17.25" customHeight="1" x14ac:dyDescent="0.2">
      <c r="A11" s="64" t="s">
        <v>88</v>
      </c>
      <c r="B11" s="13"/>
      <c r="C11" s="14">
        <f t="shared" ref="C11:C21" si="13">H11+K11+N11+Q11+T11+W11+Z11+AC11+AF11+AI11+AL11+AO11</f>
        <v>133600</v>
      </c>
      <c r="D11" s="14"/>
      <c r="E11" s="3"/>
      <c r="F11" s="132">
        <v>133600</v>
      </c>
      <c r="G11" s="65"/>
      <c r="H11" s="65">
        <f t="shared" si="0"/>
        <v>133600</v>
      </c>
      <c r="I11" s="132"/>
      <c r="J11" s="66"/>
      <c r="K11" s="66">
        <f t="shared" si="1"/>
        <v>0</v>
      </c>
      <c r="L11" s="132"/>
      <c r="M11" s="65"/>
      <c r="N11" s="65">
        <f t="shared" si="2"/>
        <v>0</v>
      </c>
      <c r="O11" s="132"/>
      <c r="P11" s="66"/>
      <c r="Q11" s="66">
        <f t="shared" si="3"/>
        <v>0</v>
      </c>
      <c r="R11" s="132"/>
      <c r="S11" s="65"/>
      <c r="T11" s="65">
        <f t="shared" si="4"/>
        <v>0</v>
      </c>
      <c r="U11" s="132"/>
      <c r="V11" s="66"/>
      <c r="W11" s="66">
        <f t="shared" si="5"/>
        <v>0</v>
      </c>
      <c r="X11" s="132"/>
      <c r="Y11" s="65"/>
      <c r="Z11" s="65">
        <f t="shared" si="6"/>
        <v>0</v>
      </c>
      <c r="AA11" s="132"/>
      <c r="AB11" s="66"/>
      <c r="AC11" s="66">
        <f t="shared" si="7"/>
        <v>0</v>
      </c>
      <c r="AD11" s="65"/>
      <c r="AE11" s="65"/>
      <c r="AF11" s="65">
        <f t="shared" si="8"/>
        <v>0</v>
      </c>
      <c r="AG11" s="66"/>
      <c r="AH11" s="66"/>
      <c r="AI11" s="66">
        <f t="shared" si="9"/>
        <v>0</v>
      </c>
      <c r="AJ11" s="65"/>
      <c r="AK11" s="65"/>
      <c r="AL11" s="65">
        <f t="shared" si="10"/>
        <v>0</v>
      </c>
      <c r="AM11" s="66"/>
      <c r="AN11" s="66"/>
      <c r="AO11" s="66">
        <f t="shared" ref="AO11" si="14">AM11+AN11</f>
        <v>0</v>
      </c>
    </row>
    <row r="12" spans="1:41" s="58" customFormat="1" ht="17.25" customHeight="1" x14ac:dyDescent="0.2">
      <c r="A12" s="64" t="s">
        <v>58</v>
      </c>
      <c r="B12" s="13"/>
      <c r="C12" s="14">
        <f t="shared" si="13"/>
        <v>162000</v>
      </c>
      <c r="D12" s="14"/>
      <c r="E12" s="3"/>
      <c r="F12" s="132">
        <v>162000</v>
      </c>
      <c r="G12" s="65"/>
      <c r="H12" s="65">
        <f t="shared" si="0"/>
        <v>162000</v>
      </c>
      <c r="I12" s="132"/>
      <c r="J12" s="66"/>
      <c r="K12" s="66">
        <f t="shared" si="1"/>
        <v>0</v>
      </c>
      <c r="L12" s="132"/>
      <c r="M12" s="65"/>
      <c r="N12" s="65">
        <f>L12+M12</f>
        <v>0</v>
      </c>
      <c r="O12" s="132"/>
      <c r="P12" s="66"/>
      <c r="Q12" s="66">
        <f t="shared" si="3"/>
        <v>0</v>
      </c>
      <c r="R12" s="132"/>
      <c r="S12" s="65"/>
      <c r="T12" s="65">
        <f t="shared" si="4"/>
        <v>0</v>
      </c>
      <c r="U12" s="132"/>
      <c r="V12" s="66"/>
      <c r="W12" s="66">
        <f t="shared" si="5"/>
        <v>0</v>
      </c>
      <c r="X12" s="132"/>
      <c r="Y12" s="65"/>
      <c r="Z12" s="65">
        <f t="shared" si="6"/>
        <v>0</v>
      </c>
      <c r="AA12" s="132"/>
      <c r="AB12" s="66"/>
      <c r="AC12" s="66">
        <f t="shared" si="7"/>
        <v>0</v>
      </c>
      <c r="AD12" s="65"/>
      <c r="AE12" s="65"/>
      <c r="AF12" s="65"/>
      <c r="AG12" s="66"/>
      <c r="AH12" s="66"/>
      <c r="AI12" s="66"/>
      <c r="AJ12" s="65"/>
      <c r="AK12" s="65"/>
      <c r="AL12" s="65"/>
      <c r="AM12" s="66"/>
      <c r="AN12" s="66"/>
      <c r="AO12" s="66"/>
    </row>
    <row r="13" spans="1:41" s="58" customFormat="1" ht="17.25" customHeight="1" x14ac:dyDescent="0.2">
      <c r="A13" s="64" t="s">
        <v>59</v>
      </c>
      <c r="B13" s="13"/>
      <c r="C13" s="14">
        <f t="shared" si="13"/>
        <v>10700</v>
      </c>
      <c r="D13" s="14"/>
      <c r="E13" s="3"/>
      <c r="F13" s="132">
        <v>100000</v>
      </c>
      <c r="G13" s="120">
        <v>-100000</v>
      </c>
      <c r="H13" s="65">
        <f t="shared" si="0"/>
        <v>0</v>
      </c>
      <c r="I13" s="132"/>
      <c r="J13" s="66"/>
      <c r="K13" s="66">
        <f t="shared" si="1"/>
        <v>0</v>
      </c>
      <c r="L13" s="132"/>
      <c r="M13" s="65"/>
      <c r="N13" s="65">
        <f t="shared" si="2"/>
        <v>0</v>
      </c>
      <c r="O13" s="133">
        <v>410000</v>
      </c>
      <c r="P13" s="120">
        <v>-410000</v>
      </c>
      <c r="Q13" s="66">
        <f t="shared" si="3"/>
        <v>0</v>
      </c>
      <c r="R13" s="132"/>
      <c r="S13" s="65"/>
      <c r="T13" s="65">
        <f t="shared" si="4"/>
        <v>0</v>
      </c>
      <c r="U13" s="132">
        <v>700</v>
      </c>
      <c r="V13" s="66"/>
      <c r="W13" s="66">
        <f t="shared" si="5"/>
        <v>700</v>
      </c>
      <c r="X13" s="132"/>
      <c r="Y13" s="65"/>
      <c r="Z13" s="65">
        <f t="shared" si="6"/>
        <v>0</v>
      </c>
      <c r="AA13" s="132">
        <v>10000</v>
      </c>
      <c r="AB13" s="66"/>
      <c r="AC13" s="66">
        <f t="shared" si="7"/>
        <v>10000</v>
      </c>
      <c r="AD13" s="65"/>
      <c r="AE13" s="65"/>
      <c r="AF13" s="65">
        <f t="shared" si="8"/>
        <v>0</v>
      </c>
      <c r="AG13" s="66"/>
      <c r="AH13" s="66"/>
      <c r="AI13" s="66">
        <f t="shared" si="9"/>
        <v>0</v>
      </c>
      <c r="AJ13" s="65"/>
      <c r="AK13" s="65"/>
      <c r="AL13" s="65">
        <f t="shared" si="10"/>
        <v>0</v>
      </c>
      <c r="AM13" s="66"/>
      <c r="AN13" s="66"/>
      <c r="AO13" s="66">
        <f t="shared" ref="AO13:AO21" si="15">AM13+AN13</f>
        <v>0</v>
      </c>
    </row>
    <row r="14" spans="1:41" s="58" customFormat="1" ht="17.25" customHeight="1" x14ac:dyDescent="0.2">
      <c r="A14" s="64" t="s">
        <v>87</v>
      </c>
      <c r="B14" s="13"/>
      <c r="C14" s="14">
        <f t="shared" si="13"/>
        <v>64550</v>
      </c>
      <c r="D14" s="14">
        <v>80000</v>
      </c>
      <c r="E14" s="3"/>
      <c r="F14" s="132">
        <v>64550</v>
      </c>
      <c r="G14" s="65"/>
      <c r="H14" s="65">
        <f t="shared" si="0"/>
        <v>64550</v>
      </c>
      <c r="I14" s="132"/>
      <c r="J14" s="66"/>
      <c r="K14" s="66">
        <f t="shared" si="1"/>
        <v>0</v>
      </c>
      <c r="L14" s="132"/>
      <c r="M14" s="65"/>
      <c r="N14" s="65">
        <f t="shared" si="2"/>
        <v>0</v>
      </c>
      <c r="O14" s="132"/>
      <c r="P14" s="66"/>
      <c r="Q14" s="66">
        <f t="shared" si="3"/>
        <v>0</v>
      </c>
      <c r="R14" s="132"/>
      <c r="S14" s="65"/>
      <c r="T14" s="65">
        <f t="shared" si="4"/>
        <v>0</v>
      </c>
      <c r="U14" s="132"/>
      <c r="V14" s="66"/>
      <c r="W14" s="66">
        <f t="shared" si="5"/>
        <v>0</v>
      </c>
      <c r="X14" s="132"/>
      <c r="Y14" s="65"/>
      <c r="Z14" s="65">
        <f t="shared" si="6"/>
        <v>0</v>
      </c>
      <c r="AA14" s="132"/>
      <c r="AB14" s="66"/>
      <c r="AC14" s="66">
        <f t="shared" si="7"/>
        <v>0</v>
      </c>
      <c r="AD14" s="65"/>
      <c r="AE14" s="65"/>
      <c r="AF14" s="65">
        <f t="shared" si="8"/>
        <v>0</v>
      </c>
      <c r="AG14" s="66"/>
      <c r="AH14" s="66"/>
      <c r="AI14" s="66">
        <f t="shared" si="9"/>
        <v>0</v>
      </c>
      <c r="AJ14" s="65"/>
      <c r="AK14" s="65"/>
      <c r="AL14" s="65">
        <f t="shared" si="10"/>
        <v>0</v>
      </c>
      <c r="AM14" s="66"/>
      <c r="AN14" s="66"/>
      <c r="AO14" s="66">
        <f t="shared" si="15"/>
        <v>0</v>
      </c>
    </row>
    <row r="15" spans="1:41" s="58" customFormat="1" ht="17.25" customHeight="1" x14ac:dyDescent="0.2">
      <c r="A15" s="64" t="s">
        <v>53</v>
      </c>
      <c r="B15" s="13"/>
      <c r="C15" s="14">
        <f t="shared" si="13"/>
        <v>455488</v>
      </c>
      <c r="D15" s="14">
        <v>45000</v>
      </c>
      <c r="E15" s="3"/>
      <c r="F15" s="132"/>
      <c r="G15" s="65"/>
      <c r="H15" s="65">
        <f t="shared" si="0"/>
        <v>0</v>
      </c>
      <c r="I15" s="132">
        <v>151005</v>
      </c>
      <c r="J15" s="66"/>
      <c r="K15" s="66">
        <f t="shared" si="1"/>
        <v>151005</v>
      </c>
      <c r="L15" s="132"/>
      <c r="M15" s="65"/>
      <c r="N15" s="65">
        <f t="shared" si="2"/>
        <v>0</v>
      </c>
      <c r="O15" s="132">
        <v>250133</v>
      </c>
      <c r="P15" s="66"/>
      <c r="Q15" s="66">
        <f t="shared" si="3"/>
        <v>250133</v>
      </c>
      <c r="R15" s="132"/>
      <c r="S15" s="65"/>
      <c r="T15" s="65">
        <f t="shared" si="4"/>
        <v>0</v>
      </c>
      <c r="U15" s="132">
        <v>22025</v>
      </c>
      <c r="V15" s="66"/>
      <c r="W15" s="66">
        <f t="shared" si="5"/>
        <v>22025</v>
      </c>
      <c r="X15" s="132">
        <v>30225</v>
      </c>
      <c r="Y15" s="65"/>
      <c r="Z15" s="65">
        <f t="shared" si="6"/>
        <v>30225</v>
      </c>
      <c r="AA15" s="132">
        <v>2100</v>
      </c>
      <c r="AB15" s="66"/>
      <c r="AC15" s="66">
        <f t="shared" si="7"/>
        <v>2100</v>
      </c>
      <c r="AD15" s="65"/>
      <c r="AE15" s="65"/>
      <c r="AF15" s="65">
        <f t="shared" si="8"/>
        <v>0</v>
      </c>
      <c r="AG15" s="66"/>
      <c r="AH15" s="66"/>
      <c r="AI15" s="66">
        <f t="shared" si="9"/>
        <v>0</v>
      </c>
      <c r="AJ15" s="65"/>
      <c r="AK15" s="65"/>
      <c r="AL15" s="65">
        <f t="shared" si="10"/>
        <v>0</v>
      </c>
      <c r="AM15" s="66"/>
      <c r="AN15" s="66"/>
      <c r="AO15" s="66">
        <f t="shared" si="15"/>
        <v>0</v>
      </c>
    </row>
    <row r="16" spans="1:41" s="58" customFormat="1" ht="17.25" customHeight="1" x14ac:dyDescent="0.2">
      <c r="A16" s="64" t="s">
        <v>54</v>
      </c>
      <c r="B16" s="13"/>
      <c r="C16" s="14">
        <f t="shared" si="13"/>
        <v>423200</v>
      </c>
      <c r="D16" s="14">
        <v>3000</v>
      </c>
      <c r="E16" s="3"/>
      <c r="F16" s="132">
        <v>343150</v>
      </c>
      <c r="G16" s="65"/>
      <c r="H16" s="65">
        <f t="shared" si="0"/>
        <v>343150</v>
      </c>
      <c r="I16" s="132">
        <v>19050</v>
      </c>
      <c r="J16" s="66"/>
      <c r="K16" s="66">
        <f t="shared" si="1"/>
        <v>19050</v>
      </c>
      <c r="L16" s="132"/>
      <c r="M16" s="65"/>
      <c r="N16" s="65">
        <f t="shared" si="2"/>
        <v>0</v>
      </c>
      <c r="O16" s="132">
        <v>0</v>
      </c>
      <c r="P16" s="66"/>
      <c r="Q16" s="66">
        <f t="shared" si="3"/>
        <v>0</v>
      </c>
      <c r="R16" s="132">
        <v>61000</v>
      </c>
      <c r="S16" s="65"/>
      <c r="T16" s="65">
        <f t="shared" si="4"/>
        <v>61000</v>
      </c>
      <c r="U16" s="132"/>
      <c r="V16" s="66"/>
      <c r="W16" s="66">
        <f t="shared" si="5"/>
        <v>0</v>
      </c>
      <c r="X16" s="132"/>
      <c r="Y16" s="65"/>
      <c r="Z16" s="65">
        <f t="shared" si="6"/>
        <v>0</v>
      </c>
      <c r="AA16" s="132"/>
      <c r="AB16" s="66"/>
      <c r="AC16" s="66">
        <f t="shared" si="7"/>
        <v>0</v>
      </c>
      <c r="AD16" s="65"/>
      <c r="AE16" s="65"/>
      <c r="AF16" s="65">
        <f t="shared" si="8"/>
        <v>0</v>
      </c>
      <c r="AG16" s="66"/>
      <c r="AH16" s="66"/>
      <c r="AI16" s="66">
        <f t="shared" si="9"/>
        <v>0</v>
      </c>
      <c r="AJ16" s="65"/>
      <c r="AK16" s="65"/>
      <c r="AL16" s="65">
        <f t="shared" si="10"/>
        <v>0</v>
      </c>
      <c r="AM16" s="66"/>
      <c r="AN16" s="66"/>
      <c r="AO16" s="66">
        <f t="shared" si="15"/>
        <v>0</v>
      </c>
    </row>
    <row r="17" spans="1:41" s="58" customFormat="1" ht="17.25" customHeight="1" x14ac:dyDescent="0.2">
      <c r="A17" s="64" t="s">
        <v>85</v>
      </c>
      <c r="B17" s="13"/>
      <c r="C17" s="14">
        <f t="shared" si="13"/>
        <v>0</v>
      </c>
      <c r="D17" s="14">
        <v>32000</v>
      </c>
      <c r="E17" s="3"/>
      <c r="F17" s="132"/>
      <c r="G17" s="65"/>
      <c r="H17" s="65">
        <f t="shared" si="0"/>
        <v>0</v>
      </c>
      <c r="I17" s="132"/>
      <c r="J17" s="66"/>
      <c r="K17" s="66">
        <f t="shared" si="1"/>
        <v>0</v>
      </c>
      <c r="L17" s="132"/>
      <c r="M17" s="65"/>
      <c r="N17" s="65">
        <f t="shared" si="2"/>
        <v>0</v>
      </c>
      <c r="O17" s="132">
        <v>0</v>
      </c>
      <c r="P17" s="66"/>
      <c r="Q17" s="66">
        <f t="shared" si="3"/>
        <v>0</v>
      </c>
      <c r="R17" s="132"/>
      <c r="S17" s="65"/>
      <c r="T17" s="65">
        <f t="shared" si="4"/>
        <v>0</v>
      </c>
      <c r="U17" s="132"/>
      <c r="V17" s="66"/>
      <c r="W17" s="66">
        <f t="shared" si="5"/>
        <v>0</v>
      </c>
      <c r="X17" s="132"/>
      <c r="Y17" s="65"/>
      <c r="Z17" s="65">
        <f t="shared" si="6"/>
        <v>0</v>
      </c>
      <c r="AA17" s="132"/>
      <c r="AB17" s="66"/>
      <c r="AC17" s="66">
        <f t="shared" si="7"/>
        <v>0</v>
      </c>
      <c r="AD17" s="65"/>
      <c r="AE17" s="65"/>
      <c r="AF17" s="65">
        <f t="shared" si="8"/>
        <v>0</v>
      </c>
      <c r="AG17" s="66"/>
      <c r="AH17" s="66"/>
      <c r="AI17" s="66">
        <f t="shared" si="9"/>
        <v>0</v>
      </c>
      <c r="AJ17" s="65"/>
      <c r="AK17" s="65"/>
      <c r="AL17" s="65">
        <f t="shared" si="10"/>
        <v>0</v>
      </c>
      <c r="AM17" s="66"/>
      <c r="AN17" s="66"/>
      <c r="AO17" s="66">
        <f t="shared" si="15"/>
        <v>0</v>
      </c>
    </row>
    <row r="18" spans="1:41" s="58" customFormat="1" ht="17.25" customHeight="1" x14ac:dyDescent="0.2">
      <c r="A18" s="64" t="s">
        <v>56</v>
      </c>
      <c r="B18" s="13"/>
      <c r="C18" s="14">
        <f t="shared" si="13"/>
        <v>47000</v>
      </c>
      <c r="D18" s="14">
        <v>70000</v>
      </c>
      <c r="E18" s="3"/>
      <c r="F18" s="132">
        <v>47000</v>
      </c>
      <c r="G18" s="65"/>
      <c r="H18" s="65">
        <f t="shared" si="0"/>
        <v>47000</v>
      </c>
      <c r="I18" s="132"/>
      <c r="J18" s="66"/>
      <c r="K18" s="66">
        <f t="shared" si="1"/>
        <v>0</v>
      </c>
      <c r="L18" s="132"/>
      <c r="M18" s="65"/>
      <c r="N18" s="65">
        <f t="shared" si="2"/>
        <v>0</v>
      </c>
      <c r="O18" s="132"/>
      <c r="P18" s="66"/>
      <c r="Q18" s="66">
        <f t="shared" si="3"/>
        <v>0</v>
      </c>
      <c r="R18" s="132"/>
      <c r="S18" s="65"/>
      <c r="T18" s="65">
        <f t="shared" si="4"/>
        <v>0</v>
      </c>
      <c r="U18" s="132"/>
      <c r="V18" s="66"/>
      <c r="W18" s="66">
        <f t="shared" si="5"/>
        <v>0</v>
      </c>
      <c r="X18" s="132"/>
      <c r="Y18" s="65"/>
      <c r="Z18" s="65">
        <f t="shared" si="6"/>
        <v>0</v>
      </c>
      <c r="AA18" s="132"/>
      <c r="AB18" s="66"/>
      <c r="AC18" s="66">
        <f t="shared" si="7"/>
        <v>0</v>
      </c>
      <c r="AD18" s="65"/>
      <c r="AE18" s="65"/>
      <c r="AF18" s="65">
        <f t="shared" si="8"/>
        <v>0</v>
      </c>
      <c r="AG18" s="66"/>
      <c r="AH18" s="66"/>
      <c r="AI18" s="66">
        <f t="shared" si="9"/>
        <v>0</v>
      </c>
      <c r="AJ18" s="65"/>
      <c r="AK18" s="65"/>
      <c r="AL18" s="65">
        <f t="shared" si="10"/>
        <v>0</v>
      </c>
      <c r="AM18" s="66"/>
      <c r="AN18" s="66"/>
      <c r="AO18" s="66">
        <f t="shared" si="15"/>
        <v>0</v>
      </c>
    </row>
    <row r="19" spans="1:41" s="58" customFormat="1" ht="17.25" customHeight="1" x14ac:dyDescent="0.2">
      <c r="A19" s="12" t="s">
        <v>162</v>
      </c>
      <c r="B19" s="13"/>
      <c r="C19" s="14">
        <f t="shared" si="13"/>
        <v>61069</v>
      </c>
      <c r="D19" s="14">
        <v>70000</v>
      </c>
      <c r="E19" s="3"/>
      <c r="F19" s="132">
        <v>61069</v>
      </c>
      <c r="G19" s="65"/>
      <c r="H19" s="65">
        <f t="shared" si="0"/>
        <v>61069</v>
      </c>
      <c r="I19" s="132"/>
      <c r="J19" s="66"/>
      <c r="K19" s="66">
        <f t="shared" si="1"/>
        <v>0</v>
      </c>
      <c r="L19" s="132"/>
      <c r="M19" s="65"/>
      <c r="N19" s="65">
        <f t="shared" si="2"/>
        <v>0</v>
      </c>
      <c r="O19" s="132"/>
      <c r="P19" s="66"/>
      <c r="Q19" s="66">
        <f t="shared" si="3"/>
        <v>0</v>
      </c>
      <c r="R19" s="132"/>
      <c r="S19" s="65"/>
      <c r="T19" s="65">
        <f t="shared" si="4"/>
        <v>0</v>
      </c>
      <c r="U19" s="132"/>
      <c r="V19" s="66"/>
      <c r="W19" s="66">
        <f t="shared" si="5"/>
        <v>0</v>
      </c>
      <c r="X19" s="132"/>
      <c r="Y19" s="65"/>
      <c r="Z19" s="65">
        <f t="shared" si="6"/>
        <v>0</v>
      </c>
      <c r="AA19" s="132"/>
      <c r="AB19" s="66"/>
      <c r="AC19" s="66">
        <f t="shared" si="7"/>
        <v>0</v>
      </c>
      <c r="AD19" s="65"/>
      <c r="AE19" s="65"/>
      <c r="AF19" s="65">
        <f t="shared" si="8"/>
        <v>0</v>
      </c>
      <c r="AG19" s="66"/>
      <c r="AH19" s="66"/>
      <c r="AI19" s="66">
        <f t="shared" si="9"/>
        <v>0</v>
      </c>
      <c r="AJ19" s="65"/>
      <c r="AK19" s="65"/>
      <c r="AL19" s="65">
        <f t="shared" si="10"/>
        <v>0</v>
      </c>
      <c r="AM19" s="66"/>
      <c r="AN19" s="66"/>
      <c r="AO19" s="66">
        <f t="shared" si="15"/>
        <v>0</v>
      </c>
    </row>
    <row r="20" spans="1:41" s="58" customFormat="1" ht="17.25" customHeight="1" x14ac:dyDescent="0.2">
      <c r="A20" s="12" t="s">
        <v>124</v>
      </c>
      <c r="B20" s="13"/>
      <c r="C20" s="14">
        <f t="shared" si="13"/>
        <v>147184</v>
      </c>
      <c r="D20" s="14"/>
      <c r="E20" s="3"/>
      <c r="F20" s="132">
        <v>147184</v>
      </c>
      <c r="G20" s="65"/>
      <c r="H20" s="65">
        <f t="shared" si="0"/>
        <v>147184</v>
      </c>
      <c r="I20" s="132"/>
      <c r="J20" s="66"/>
      <c r="K20" s="66">
        <f t="shared" si="1"/>
        <v>0</v>
      </c>
      <c r="L20" s="132"/>
      <c r="M20" s="65"/>
      <c r="N20" s="65">
        <f t="shared" si="2"/>
        <v>0</v>
      </c>
      <c r="O20" s="132"/>
      <c r="P20" s="66"/>
      <c r="Q20" s="66">
        <f t="shared" si="3"/>
        <v>0</v>
      </c>
      <c r="R20" s="132"/>
      <c r="S20" s="65"/>
      <c r="T20" s="65">
        <f t="shared" si="4"/>
        <v>0</v>
      </c>
      <c r="U20" s="132"/>
      <c r="V20" s="66"/>
      <c r="W20" s="66">
        <f t="shared" si="5"/>
        <v>0</v>
      </c>
      <c r="X20" s="132"/>
      <c r="Y20" s="65"/>
      <c r="Z20" s="65">
        <f t="shared" si="6"/>
        <v>0</v>
      </c>
      <c r="AA20" s="132"/>
      <c r="AB20" s="66"/>
      <c r="AC20" s="66">
        <f t="shared" si="7"/>
        <v>0</v>
      </c>
      <c r="AD20" s="65"/>
      <c r="AE20" s="65"/>
      <c r="AF20" s="65">
        <f t="shared" si="8"/>
        <v>0</v>
      </c>
      <c r="AG20" s="66"/>
      <c r="AH20" s="66"/>
      <c r="AI20" s="66">
        <f t="shared" si="9"/>
        <v>0</v>
      </c>
      <c r="AJ20" s="65"/>
      <c r="AK20" s="65"/>
      <c r="AL20" s="65">
        <f t="shared" si="10"/>
        <v>0</v>
      </c>
      <c r="AM20" s="66"/>
      <c r="AN20" s="66"/>
      <c r="AO20" s="66">
        <f t="shared" si="15"/>
        <v>0</v>
      </c>
    </row>
    <row r="21" spans="1:41" s="58" customFormat="1" ht="17.25" customHeight="1" x14ac:dyDescent="0.2">
      <c r="A21" s="64" t="s">
        <v>55</v>
      </c>
      <c r="B21" s="13"/>
      <c r="C21" s="14">
        <f t="shared" si="13"/>
        <v>345117</v>
      </c>
      <c r="D21" s="14">
        <v>20000</v>
      </c>
      <c r="E21" s="3"/>
      <c r="F21" s="132">
        <v>19858</v>
      </c>
      <c r="G21" s="65"/>
      <c r="H21" s="65">
        <f t="shared" si="0"/>
        <v>19858</v>
      </c>
      <c r="I21" s="132">
        <f>6700</f>
        <v>6700</v>
      </c>
      <c r="J21" s="66"/>
      <c r="K21" s="66">
        <f t="shared" si="1"/>
        <v>6700</v>
      </c>
      <c r="L21" s="132"/>
      <c r="M21" s="65"/>
      <c r="N21" s="65">
        <f t="shared" si="2"/>
        <v>0</v>
      </c>
      <c r="O21" s="133">
        <v>318559</v>
      </c>
      <c r="P21" s="66"/>
      <c r="Q21" s="66">
        <f t="shared" si="3"/>
        <v>318559</v>
      </c>
      <c r="R21" s="132"/>
      <c r="S21" s="65"/>
      <c r="T21" s="65">
        <f t="shared" si="4"/>
        <v>0</v>
      </c>
      <c r="U21" s="132"/>
      <c r="V21" s="66"/>
      <c r="W21" s="66">
        <f t="shared" si="5"/>
        <v>0</v>
      </c>
      <c r="X21" s="132"/>
      <c r="Y21" s="65"/>
      <c r="Z21" s="65">
        <f t="shared" si="6"/>
        <v>0</v>
      </c>
      <c r="AA21" s="132"/>
      <c r="AB21" s="66"/>
      <c r="AC21" s="66">
        <f t="shared" si="7"/>
        <v>0</v>
      </c>
      <c r="AD21" s="65"/>
      <c r="AE21" s="65"/>
      <c r="AF21" s="65">
        <f t="shared" si="8"/>
        <v>0</v>
      </c>
      <c r="AG21" s="66"/>
      <c r="AH21" s="66"/>
      <c r="AI21" s="66">
        <f t="shared" si="9"/>
        <v>0</v>
      </c>
      <c r="AJ21" s="65"/>
      <c r="AK21" s="65"/>
      <c r="AL21" s="65">
        <f t="shared" si="10"/>
        <v>0</v>
      </c>
      <c r="AM21" s="66"/>
      <c r="AN21" s="66"/>
      <c r="AO21" s="66">
        <f t="shared" si="15"/>
        <v>0</v>
      </c>
    </row>
    <row r="22" spans="1:41" s="58" customFormat="1" ht="17.25" x14ac:dyDescent="0.3">
      <c r="A22" s="4" t="s">
        <v>5</v>
      </c>
      <c r="B22" s="16"/>
      <c r="C22" s="17">
        <f>SUM(C7:C21)</f>
        <v>3391725</v>
      </c>
      <c r="D22" s="17">
        <f>SUM(D7:D21)</f>
        <v>380000</v>
      </c>
      <c r="E22" s="3"/>
      <c r="F22" s="67">
        <f t="shared" ref="F22:AO22" si="16">SUM(F7:F21)</f>
        <v>1078411</v>
      </c>
      <c r="G22" s="67">
        <f t="shared" si="16"/>
        <v>-100000</v>
      </c>
      <c r="H22" s="67">
        <f t="shared" si="16"/>
        <v>978411</v>
      </c>
      <c r="I22" s="67">
        <f t="shared" si="16"/>
        <v>509692</v>
      </c>
      <c r="J22" s="67">
        <f t="shared" si="16"/>
        <v>0</v>
      </c>
      <c r="K22" s="67">
        <f t="shared" si="16"/>
        <v>509692</v>
      </c>
      <c r="L22" s="67">
        <f t="shared" si="16"/>
        <v>0</v>
      </c>
      <c r="M22" s="67">
        <f t="shared" si="16"/>
        <v>0</v>
      </c>
      <c r="N22" s="67">
        <f t="shared" si="16"/>
        <v>0</v>
      </c>
      <c r="O22" s="67">
        <f t="shared" si="16"/>
        <v>1061741</v>
      </c>
      <c r="P22" s="67">
        <f t="shared" si="16"/>
        <v>-410000</v>
      </c>
      <c r="Q22" s="67">
        <f t="shared" si="16"/>
        <v>651741</v>
      </c>
      <c r="R22" s="67">
        <f t="shared" si="16"/>
        <v>1171711</v>
      </c>
      <c r="S22" s="67">
        <f t="shared" si="16"/>
        <v>0</v>
      </c>
      <c r="T22" s="67">
        <f t="shared" si="16"/>
        <v>1171711</v>
      </c>
      <c r="U22" s="67">
        <f t="shared" si="16"/>
        <v>37845</v>
      </c>
      <c r="V22" s="67">
        <f t="shared" si="16"/>
        <v>0</v>
      </c>
      <c r="W22" s="67">
        <f t="shared" si="16"/>
        <v>37845</v>
      </c>
      <c r="X22" s="67">
        <f t="shared" si="16"/>
        <v>30225</v>
      </c>
      <c r="Y22" s="67">
        <f t="shared" si="16"/>
        <v>0</v>
      </c>
      <c r="Z22" s="67">
        <f t="shared" si="16"/>
        <v>30225</v>
      </c>
      <c r="AA22" s="67">
        <f t="shared" si="16"/>
        <v>12100</v>
      </c>
      <c r="AB22" s="67">
        <f t="shared" si="16"/>
        <v>0</v>
      </c>
      <c r="AC22" s="67">
        <f t="shared" si="16"/>
        <v>12100</v>
      </c>
      <c r="AD22" s="67">
        <f t="shared" si="16"/>
        <v>0</v>
      </c>
      <c r="AE22" s="67">
        <f t="shared" si="16"/>
        <v>0</v>
      </c>
      <c r="AF22" s="67">
        <f t="shared" si="16"/>
        <v>0</v>
      </c>
      <c r="AG22" s="67">
        <f t="shared" si="16"/>
        <v>0</v>
      </c>
      <c r="AH22" s="67">
        <f t="shared" si="16"/>
        <v>0</v>
      </c>
      <c r="AI22" s="67">
        <f t="shared" si="16"/>
        <v>0</v>
      </c>
      <c r="AJ22" s="67">
        <f t="shared" si="16"/>
        <v>0</v>
      </c>
      <c r="AK22" s="67">
        <f t="shared" si="16"/>
        <v>0</v>
      </c>
      <c r="AL22" s="67">
        <f t="shared" si="16"/>
        <v>0</v>
      </c>
      <c r="AM22" s="67">
        <f t="shared" si="16"/>
        <v>0</v>
      </c>
      <c r="AN22" s="67">
        <f t="shared" si="16"/>
        <v>0</v>
      </c>
      <c r="AO22" s="67">
        <f t="shared" si="16"/>
        <v>0</v>
      </c>
    </row>
    <row r="23" spans="1:41" s="58" customFormat="1" ht="21.95" customHeight="1" x14ac:dyDescent="0.3">
      <c r="A23" s="15"/>
      <c r="B23" s="16"/>
      <c r="C23" s="18"/>
      <c r="D23" s="18"/>
      <c r="E23" s="3"/>
      <c r="F23" s="65"/>
      <c r="G23" s="65"/>
      <c r="H23" s="65"/>
      <c r="I23" s="66"/>
      <c r="J23" s="66"/>
      <c r="K23" s="66"/>
      <c r="L23" s="65"/>
      <c r="M23" s="65"/>
      <c r="N23" s="65"/>
      <c r="O23" s="66"/>
      <c r="P23" s="66"/>
      <c r="Q23" s="66"/>
      <c r="R23" s="65"/>
      <c r="S23" s="65"/>
      <c r="T23" s="65"/>
      <c r="U23" s="66"/>
      <c r="V23" s="66"/>
      <c r="W23" s="66"/>
      <c r="X23" s="65"/>
      <c r="Y23" s="65"/>
      <c r="Z23" s="65"/>
      <c r="AA23" s="66"/>
      <c r="AB23" s="66"/>
      <c r="AC23" s="66"/>
      <c r="AD23" s="65"/>
      <c r="AE23" s="65"/>
      <c r="AF23" s="65"/>
      <c r="AG23" s="66"/>
      <c r="AH23" s="66"/>
      <c r="AI23" s="66"/>
      <c r="AJ23" s="65"/>
      <c r="AK23" s="65"/>
      <c r="AL23" s="65"/>
      <c r="AM23" s="66"/>
      <c r="AN23" s="66"/>
      <c r="AO23" s="66"/>
    </row>
    <row r="24" spans="1:41" s="58" customFormat="1" ht="17.25" x14ac:dyDescent="0.3">
      <c r="A24" s="4" t="s">
        <v>6</v>
      </c>
      <c r="B24" s="16"/>
      <c r="C24" s="19"/>
      <c r="D24" s="19"/>
      <c r="E24" s="3"/>
      <c r="F24" s="65"/>
      <c r="G24" s="65"/>
      <c r="H24" s="65"/>
      <c r="I24" s="66"/>
      <c r="J24" s="66"/>
      <c r="K24" s="66"/>
      <c r="L24" s="65"/>
      <c r="M24" s="65"/>
      <c r="N24" s="65"/>
      <c r="O24" s="66"/>
      <c r="P24" s="66"/>
      <c r="Q24" s="66"/>
      <c r="R24" s="65"/>
      <c r="S24" s="65"/>
      <c r="T24" s="65"/>
      <c r="U24" s="66"/>
      <c r="V24" s="66"/>
      <c r="W24" s="66"/>
      <c r="X24" s="65"/>
      <c r="Y24" s="65"/>
      <c r="Z24" s="65"/>
      <c r="AA24" s="66"/>
      <c r="AB24" s="66"/>
      <c r="AC24" s="66"/>
      <c r="AD24" s="65"/>
      <c r="AE24" s="65"/>
      <c r="AF24" s="65"/>
      <c r="AG24" s="66"/>
      <c r="AH24" s="66"/>
      <c r="AI24" s="66"/>
      <c r="AJ24" s="65"/>
      <c r="AK24" s="65"/>
      <c r="AL24" s="65"/>
      <c r="AM24" s="66"/>
      <c r="AN24" s="66"/>
      <c r="AO24" s="66"/>
    </row>
    <row r="25" spans="1:41" s="58" customFormat="1" ht="9.9499999999999993" customHeight="1" x14ac:dyDescent="0.3">
      <c r="A25" s="15"/>
      <c r="B25" s="16"/>
      <c r="C25" s="19"/>
      <c r="D25" s="19"/>
      <c r="E25" s="3"/>
      <c r="F25" s="65"/>
      <c r="G25" s="65"/>
      <c r="H25" s="65"/>
      <c r="I25" s="66"/>
      <c r="J25" s="66"/>
      <c r="K25" s="66"/>
      <c r="L25" s="65"/>
      <c r="M25" s="65"/>
      <c r="N25" s="65"/>
      <c r="O25" s="66"/>
      <c r="P25" s="66"/>
      <c r="Q25" s="66"/>
      <c r="R25" s="65"/>
      <c r="S25" s="65"/>
      <c r="T25" s="65"/>
      <c r="U25" s="66"/>
      <c r="V25" s="66"/>
      <c r="W25" s="66"/>
      <c r="X25" s="65"/>
      <c r="Y25" s="65"/>
      <c r="Z25" s="65"/>
      <c r="AA25" s="66"/>
      <c r="AB25" s="66"/>
      <c r="AC25" s="66"/>
      <c r="AD25" s="65"/>
      <c r="AE25" s="65"/>
      <c r="AF25" s="65"/>
      <c r="AG25" s="66"/>
      <c r="AH25" s="66"/>
      <c r="AI25" s="66"/>
      <c r="AJ25" s="65"/>
      <c r="AK25" s="65"/>
      <c r="AL25" s="65"/>
      <c r="AM25" s="66"/>
      <c r="AN25" s="66"/>
      <c r="AO25" s="66"/>
    </row>
    <row r="26" spans="1:41" s="58" customFormat="1" ht="16.5" customHeight="1" x14ac:dyDescent="0.3">
      <c r="A26" s="68" t="s">
        <v>89</v>
      </c>
      <c r="B26" s="16"/>
      <c r="C26" s="14">
        <f>H26+K26+N26+Q26+T26+W26+Z26+AC26+AF26+AI26+AL26+AO26</f>
        <v>221458</v>
      </c>
      <c r="D26" s="19"/>
      <c r="E26" s="3"/>
      <c r="F26" s="132">
        <v>0</v>
      </c>
      <c r="G26" s="65"/>
      <c r="H26" s="65">
        <f t="shared" si="0"/>
        <v>0</v>
      </c>
      <c r="I26" s="132">
        <v>46387</v>
      </c>
      <c r="J26" s="66"/>
      <c r="K26" s="66">
        <f t="shared" si="1"/>
        <v>46387</v>
      </c>
      <c r="L26" s="132"/>
      <c r="M26" s="65"/>
      <c r="N26" s="65">
        <f t="shared" si="2"/>
        <v>0</v>
      </c>
      <c r="O26" s="132">
        <v>24071</v>
      </c>
      <c r="P26" s="66"/>
      <c r="Q26" s="66">
        <f t="shared" si="3"/>
        <v>24071</v>
      </c>
      <c r="R26" s="132">
        <v>151000</v>
      </c>
      <c r="S26" s="65"/>
      <c r="T26" s="65">
        <f t="shared" si="4"/>
        <v>151000</v>
      </c>
      <c r="U26" s="132"/>
      <c r="V26" s="66"/>
      <c r="W26" s="66">
        <f t="shared" si="5"/>
        <v>0</v>
      </c>
      <c r="X26" s="132"/>
      <c r="Y26" s="65"/>
      <c r="Z26" s="65">
        <f t="shared" si="6"/>
        <v>0</v>
      </c>
      <c r="AA26" s="132"/>
      <c r="AB26" s="66"/>
      <c r="AC26" s="66">
        <f t="shared" si="7"/>
        <v>0</v>
      </c>
      <c r="AD26" s="65"/>
      <c r="AE26" s="65"/>
      <c r="AF26" s="65">
        <f t="shared" si="8"/>
        <v>0</v>
      </c>
      <c r="AG26" s="66"/>
      <c r="AH26" s="66"/>
      <c r="AI26" s="66">
        <f t="shared" si="9"/>
        <v>0</v>
      </c>
      <c r="AJ26" s="65"/>
      <c r="AK26" s="65"/>
      <c r="AL26" s="65">
        <f t="shared" si="10"/>
        <v>0</v>
      </c>
      <c r="AM26" s="66"/>
      <c r="AN26" s="66"/>
      <c r="AO26" s="66">
        <f t="shared" ref="AO26:AO30" si="17">AM26+AN26</f>
        <v>0</v>
      </c>
    </row>
    <row r="27" spans="1:41" s="58" customFormat="1" ht="16.5" customHeight="1" x14ac:dyDescent="0.3">
      <c r="A27" s="68" t="s">
        <v>60</v>
      </c>
      <c r="B27" s="16"/>
      <c r="C27" s="14">
        <f>H27+K27+N27+Q27+T27+W27+Z27+AC27+AF27+AI27+AL27+AO27</f>
        <v>567187</v>
      </c>
      <c r="D27" s="19">
        <v>35000</v>
      </c>
      <c r="E27" s="3"/>
      <c r="F27" s="132">
        <v>248844</v>
      </c>
      <c r="G27" s="65"/>
      <c r="H27" s="65">
        <f t="shared" si="0"/>
        <v>248844</v>
      </c>
      <c r="I27" s="132">
        <v>58506</v>
      </c>
      <c r="J27" s="66"/>
      <c r="K27" s="66">
        <f t="shared" si="1"/>
        <v>58506</v>
      </c>
      <c r="L27" s="132">
        <v>0</v>
      </c>
      <c r="M27" s="65"/>
      <c r="N27" s="65">
        <f t="shared" si="2"/>
        <v>0</v>
      </c>
      <c r="O27" s="132">
        <v>228819</v>
      </c>
      <c r="P27" s="66"/>
      <c r="Q27" s="66">
        <f t="shared" si="3"/>
        <v>228819</v>
      </c>
      <c r="R27" s="132">
        <v>20918</v>
      </c>
      <c r="S27" s="65"/>
      <c r="T27" s="65">
        <f t="shared" si="4"/>
        <v>20918</v>
      </c>
      <c r="U27" s="132"/>
      <c r="V27" s="66"/>
      <c r="W27" s="66">
        <f t="shared" si="5"/>
        <v>0</v>
      </c>
      <c r="X27" s="132">
        <v>9300</v>
      </c>
      <c r="Y27" s="65"/>
      <c r="Z27" s="65">
        <f t="shared" si="6"/>
        <v>9300</v>
      </c>
      <c r="AA27" s="132">
        <v>800</v>
      </c>
      <c r="AB27" s="66"/>
      <c r="AC27" s="66">
        <f t="shared" si="7"/>
        <v>800</v>
      </c>
      <c r="AD27" s="65"/>
      <c r="AE27" s="65"/>
      <c r="AF27" s="65">
        <f t="shared" si="8"/>
        <v>0</v>
      </c>
      <c r="AG27" s="66"/>
      <c r="AH27" s="66"/>
      <c r="AI27" s="66">
        <f t="shared" si="9"/>
        <v>0</v>
      </c>
      <c r="AJ27" s="65"/>
      <c r="AK27" s="65"/>
      <c r="AL27" s="65">
        <f t="shared" si="10"/>
        <v>0</v>
      </c>
      <c r="AM27" s="66"/>
      <c r="AN27" s="66"/>
      <c r="AO27" s="66">
        <f t="shared" si="17"/>
        <v>0</v>
      </c>
    </row>
    <row r="28" spans="1:41" s="58" customFormat="1" ht="16.5" customHeight="1" x14ac:dyDescent="0.3">
      <c r="A28" s="68" t="s">
        <v>62</v>
      </c>
      <c r="B28" s="16"/>
      <c r="C28" s="14">
        <f>H28+K28+N28+Q28+T28+W28+Z28+AC28+AF28+AI28+AL28+AO28</f>
        <v>173507</v>
      </c>
      <c r="D28" s="19">
        <v>0</v>
      </c>
      <c r="E28" s="3"/>
      <c r="F28" s="132">
        <v>108800</v>
      </c>
      <c r="G28" s="65"/>
      <c r="H28" s="65">
        <f t="shared" si="0"/>
        <v>108800</v>
      </c>
      <c r="I28" s="132"/>
      <c r="J28" s="66"/>
      <c r="K28" s="66">
        <f t="shared" si="1"/>
        <v>0</v>
      </c>
      <c r="L28" s="132"/>
      <c r="M28" s="65"/>
      <c r="N28" s="65">
        <f t="shared" si="2"/>
        <v>0</v>
      </c>
      <c r="O28" s="132">
        <v>64707</v>
      </c>
      <c r="P28" s="66"/>
      <c r="Q28" s="66">
        <f t="shared" si="3"/>
        <v>64707</v>
      </c>
      <c r="R28" s="132"/>
      <c r="S28" s="65"/>
      <c r="T28" s="65">
        <f t="shared" si="4"/>
        <v>0</v>
      </c>
      <c r="U28" s="132"/>
      <c r="V28" s="66"/>
      <c r="W28" s="66">
        <f t="shared" si="5"/>
        <v>0</v>
      </c>
      <c r="X28" s="132"/>
      <c r="Y28" s="65"/>
      <c r="Z28" s="65">
        <f t="shared" si="6"/>
        <v>0</v>
      </c>
      <c r="AA28" s="132"/>
      <c r="AB28" s="66"/>
      <c r="AC28" s="66">
        <f t="shared" si="7"/>
        <v>0</v>
      </c>
      <c r="AD28" s="65"/>
      <c r="AE28" s="65"/>
      <c r="AF28" s="65">
        <f t="shared" si="8"/>
        <v>0</v>
      </c>
      <c r="AG28" s="66"/>
      <c r="AH28" s="66"/>
      <c r="AI28" s="66">
        <f t="shared" si="9"/>
        <v>0</v>
      </c>
      <c r="AJ28" s="65"/>
      <c r="AK28" s="65"/>
      <c r="AL28" s="65">
        <f t="shared" si="10"/>
        <v>0</v>
      </c>
      <c r="AM28" s="66"/>
      <c r="AN28" s="66"/>
      <c r="AO28" s="66">
        <f t="shared" si="17"/>
        <v>0</v>
      </c>
    </row>
    <row r="29" spans="1:41" s="58" customFormat="1" ht="16.5" customHeight="1" x14ac:dyDescent="0.3">
      <c r="A29" s="68" t="s">
        <v>61</v>
      </c>
      <c r="B29" s="16"/>
      <c r="C29" s="14">
        <f>H29+K29+N29+Q29+T29+W29+Z29+AC29+AF29+AI29+AL29+AO29</f>
        <v>113310</v>
      </c>
      <c r="D29" s="19">
        <v>45000</v>
      </c>
      <c r="E29" s="3"/>
      <c r="F29" s="132">
        <v>113310</v>
      </c>
      <c r="G29" s="65"/>
      <c r="H29" s="65">
        <f t="shared" si="0"/>
        <v>113310</v>
      </c>
      <c r="I29" s="132"/>
      <c r="J29" s="66"/>
      <c r="K29" s="66">
        <f t="shared" si="1"/>
        <v>0</v>
      </c>
      <c r="L29" s="132"/>
      <c r="M29" s="65"/>
      <c r="N29" s="65">
        <f t="shared" si="2"/>
        <v>0</v>
      </c>
      <c r="O29" s="132"/>
      <c r="P29" s="66"/>
      <c r="Q29" s="66">
        <f t="shared" si="3"/>
        <v>0</v>
      </c>
      <c r="R29" s="132"/>
      <c r="S29" s="65"/>
      <c r="T29" s="65">
        <f t="shared" si="4"/>
        <v>0</v>
      </c>
      <c r="U29" s="132"/>
      <c r="V29" s="66"/>
      <c r="W29" s="66">
        <f t="shared" si="5"/>
        <v>0</v>
      </c>
      <c r="X29" s="132"/>
      <c r="Y29" s="65"/>
      <c r="Z29" s="65">
        <f t="shared" si="6"/>
        <v>0</v>
      </c>
      <c r="AA29" s="132"/>
      <c r="AB29" s="66"/>
      <c r="AC29" s="66">
        <f t="shared" si="7"/>
        <v>0</v>
      </c>
      <c r="AD29" s="65"/>
      <c r="AE29" s="65"/>
      <c r="AF29" s="65">
        <f t="shared" si="8"/>
        <v>0</v>
      </c>
      <c r="AG29" s="66"/>
      <c r="AH29" s="66"/>
      <c r="AI29" s="66">
        <f t="shared" si="9"/>
        <v>0</v>
      </c>
      <c r="AJ29" s="65"/>
      <c r="AK29" s="65"/>
      <c r="AL29" s="65">
        <f t="shared" si="10"/>
        <v>0</v>
      </c>
      <c r="AM29" s="66"/>
      <c r="AN29" s="66"/>
      <c r="AO29" s="66">
        <f t="shared" si="17"/>
        <v>0</v>
      </c>
    </row>
    <row r="30" spans="1:41" s="58" customFormat="1" ht="17.25" x14ac:dyDescent="0.3">
      <c r="A30" s="68" t="s">
        <v>63</v>
      </c>
      <c r="B30" s="16"/>
      <c r="C30" s="14">
        <f>H30+K30+N30+Q30+T30+W30+Z30+AC30+AF30+AI30+AL30+AO30</f>
        <v>1313004</v>
      </c>
      <c r="D30" s="19">
        <v>20000</v>
      </c>
      <c r="E30" s="3"/>
      <c r="F30" s="132">
        <v>210217</v>
      </c>
      <c r="G30" s="65"/>
      <c r="H30" s="65">
        <f t="shared" si="0"/>
        <v>210217</v>
      </c>
      <c r="I30" s="132">
        <v>341745</v>
      </c>
      <c r="J30" s="66"/>
      <c r="K30" s="66">
        <f t="shared" si="1"/>
        <v>341745</v>
      </c>
      <c r="L30" s="132"/>
      <c r="M30" s="65"/>
      <c r="N30" s="65">
        <f t="shared" si="2"/>
        <v>0</v>
      </c>
      <c r="O30" s="132">
        <v>390633</v>
      </c>
      <c r="P30" s="66"/>
      <c r="Q30" s="66">
        <f t="shared" si="3"/>
        <v>390633</v>
      </c>
      <c r="R30" s="132">
        <v>313539</v>
      </c>
      <c r="S30" s="65"/>
      <c r="T30" s="65">
        <f t="shared" si="4"/>
        <v>313539</v>
      </c>
      <c r="U30" s="132">
        <v>24345</v>
      </c>
      <c r="V30" s="66"/>
      <c r="W30" s="66">
        <f t="shared" si="5"/>
        <v>24345</v>
      </c>
      <c r="X30" s="132">
        <v>23992</v>
      </c>
      <c r="Y30" s="65"/>
      <c r="Z30" s="65">
        <f t="shared" si="6"/>
        <v>23992</v>
      </c>
      <c r="AA30" s="132">
        <v>8533</v>
      </c>
      <c r="AB30" s="66"/>
      <c r="AC30" s="66">
        <f t="shared" si="7"/>
        <v>8533</v>
      </c>
      <c r="AD30" s="65"/>
      <c r="AE30" s="65"/>
      <c r="AF30" s="65">
        <f t="shared" si="8"/>
        <v>0</v>
      </c>
      <c r="AG30" s="66"/>
      <c r="AH30" s="66"/>
      <c r="AI30" s="66">
        <f t="shared" si="9"/>
        <v>0</v>
      </c>
      <c r="AJ30" s="65"/>
      <c r="AK30" s="65"/>
      <c r="AL30" s="65">
        <f t="shared" si="10"/>
        <v>0</v>
      </c>
      <c r="AM30" s="66"/>
      <c r="AN30" s="66"/>
      <c r="AO30" s="66">
        <f t="shared" si="17"/>
        <v>0</v>
      </c>
    </row>
    <row r="31" spans="1:41" s="58" customFormat="1" ht="17.25" x14ac:dyDescent="0.3">
      <c r="A31" s="4" t="s">
        <v>7</v>
      </c>
      <c r="B31" s="16"/>
      <c r="C31" s="17">
        <f>SUM(C26:C30)</f>
        <v>2388466</v>
      </c>
      <c r="D31" s="17">
        <f>SUM(D27:D30)</f>
        <v>100000</v>
      </c>
      <c r="E31" s="3"/>
      <c r="F31" s="17">
        <f t="shared" ref="F31:AO31" si="18">SUM(F26:F30)</f>
        <v>681171</v>
      </c>
      <c r="G31" s="17">
        <f t="shared" si="18"/>
        <v>0</v>
      </c>
      <c r="H31" s="17">
        <f t="shared" si="18"/>
        <v>681171</v>
      </c>
      <c r="I31" s="17">
        <f t="shared" si="18"/>
        <v>446638</v>
      </c>
      <c r="J31" s="17">
        <f t="shared" si="18"/>
        <v>0</v>
      </c>
      <c r="K31" s="17">
        <f t="shared" si="18"/>
        <v>446638</v>
      </c>
      <c r="L31" s="17">
        <f t="shared" si="18"/>
        <v>0</v>
      </c>
      <c r="M31" s="17">
        <f t="shared" si="18"/>
        <v>0</v>
      </c>
      <c r="N31" s="17">
        <f t="shared" si="18"/>
        <v>0</v>
      </c>
      <c r="O31" s="17">
        <f t="shared" si="18"/>
        <v>708230</v>
      </c>
      <c r="P31" s="17">
        <f t="shared" si="18"/>
        <v>0</v>
      </c>
      <c r="Q31" s="17">
        <f t="shared" si="18"/>
        <v>708230</v>
      </c>
      <c r="R31" s="17">
        <f t="shared" si="18"/>
        <v>485457</v>
      </c>
      <c r="S31" s="17">
        <f t="shared" si="18"/>
        <v>0</v>
      </c>
      <c r="T31" s="17">
        <f t="shared" si="18"/>
        <v>485457</v>
      </c>
      <c r="U31" s="17">
        <f t="shared" si="18"/>
        <v>24345</v>
      </c>
      <c r="V31" s="17">
        <f t="shared" si="18"/>
        <v>0</v>
      </c>
      <c r="W31" s="17">
        <f t="shared" si="18"/>
        <v>24345</v>
      </c>
      <c r="X31" s="17">
        <f t="shared" si="18"/>
        <v>33292</v>
      </c>
      <c r="Y31" s="17">
        <f t="shared" si="18"/>
        <v>0</v>
      </c>
      <c r="Z31" s="17">
        <f t="shared" si="18"/>
        <v>33292</v>
      </c>
      <c r="AA31" s="17">
        <f t="shared" si="18"/>
        <v>9333</v>
      </c>
      <c r="AB31" s="17">
        <f t="shared" si="18"/>
        <v>0</v>
      </c>
      <c r="AC31" s="17">
        <f t="shared" si="18"/>
        <v>9333</v>
      </c>
      <c r="AD31" s="17">
        <f t="shared" si="18"/>
        <v>0</v>
      </c>
      <c r="AE31" s="17">
        <f t="shared" si="18"/>
        <v>0</v>
      </c>
      <c r="AF31" s="17">
        <f t="shared" si="18"/>
        <v>0</v>
      </c>
      <c r="AG31" s="17">
        <f t="shared" si="18"/>
        <v>0</v>
      </c>
      <c r="AH31" s="17">
        <f t="shared" si="18"/>
        <v>0</v>
      </c>
      <c r="AI31" s="17">
        <f t="shared" si="18"/>
        <v>0</v>
      </c>
      <c r="AJ31" s="17">
        <f t="shared" si="18"/>
        <v>0</v>
      </c>
      <c r="AK31" s="17">
        <f t="shared" si="18"/>
        <v>0</v>
      </c>
      <c r="AL31" s="17">
        <f t="shared" si="18"/>
        <v>0</v>
      </c>
      <c r="AM31" s="17">
        <f t="shared" si="18"/>
        <v>0</v>
      </c>
      <c r="AN31" s="17">
        <f t="shared" si="18"/>
        <v>0</v>
      </c>
      <c r="AO31" s="17">
        <f t="shared" si="18"/>
        <v>0</v>
      </c>
    </row>
    <row r="32" spans="1:41" s="58" customFormat="1" ht="17.25" x14ac:dyDescent="0.3">
      <c r="A32" s="15"/>
      <c r="B32" s="16"/>
      <c r="C32" s="20"/>
      <c r="D32" s="20"/>
      <c r="E32" s="3"/>
      <c r="F32" s="65"/>
      <c r="G32" s="65"/>
      <c r="H32" s="65">
        <f t="shared" si="0"/>
        <v>0</v>
      </c>
      <c r="I32" s="66"/>
      <c r="J32" s="66"/>
      <c r="K32" s="66">
        <f t="shared" si="1"/>
        <v>0</v>
      </c>
      <c r="L32" s="65"/>
      <c r="M32" s="65"/>
      <c r="N32" s="65">
        <f t="shared" si="2"/>
        <v>0</v>
      </c>
      <c r="O32" s="66"/>
      <c r="P32" s="66"/>
      <c r="Q32" s="66">
        <f t="shared" si="3"/>
        <v>0</v>
      </c>
      <c r="R32" s="65"/>
      <c r="S32" s="65"/>
      <c r="T32" s="65">
        <f t="shared" si="4"/>
        <v>0</v>
      </c>
      <c r="U32" s="66"/>
      <c r="V32" s="66"/>
      <c r="W32" s="66">
        <f t="shared" si="5"/>
        <v>0</v>
      </c>
      <c r="X32" s="65"/>
      <c r="Y32" s="65"/>
      <c r="Z32" s="65">
        <f t="shared" si="6"/>
        <v>0</v>
      </c>
      <c r="AA32" s="66"/>
      <c r="AB32" s="66"/>
      <c r="AC32" s="66">
        <f t="shared" si="7"/>
        <v>0</v>
      </c>
      <c r="AD32" s="65"/>
      <c r="AE32" s="65"/>
      <c r="AF32" s="65">
        <f t="shared" si="8"/>
        <v>0</v>
      </c>
      <c r="AG32" s="66"/>
      <c r="AH32" s="66"/>
      <c r="AI32" s="66">
        <f t="shared" si="9"/>
        <v>0</v>
      </c>
      <c r="AJ32" s="65"/>
      <c r="AK32" s="65"/>
      <c r="AL32" s="65">
        <f t="shared" si="10"/>
        <v>0</v>
      </c>
      <c r="AM32" s="66"/>
      <c r="AN32" s="66"/>
      <c r="AO32" s="66">
        <f t="shared" ref="AO32" si="19">AM32+AN32</f>
        <v>0</v>
      </c>
    </row>
    <row r="33" spans="1:41" s="58" customFormat="1" ht="17.25" x14ac:dyDescent="0.3">
      <c r="A33" s="4" t="s">
        <v>8</v>
      </c>
      <c r="B33" s="16"/>
      <c r="C33" s="21">
        <f>C22-C31</f>
        <v>1003259</v>
      </c>
      <c r="D33" s="21">
        <f>D22-D31</f>
        <v>280000</v>
      </c>
      <c r="E33" s="3"/>
      <c r="F33" s="21">
        <f t="shared" ref="F33:AO33" si="20">F22-F31</f>
        <v>397240</v>
      </c>
      <c r="G33" s="21">
        <f t="shared" si="20"/>
        <v>-100000</v>
      </c>
      <c r="H33" s="21">
        <f t="shared" si="20"/>
        <v>297240</v>
      </c>
      <c r="I33" s="21">
        <f t="shared" si="20"/>
        <v>63054</v>
      </c>
      <c r="J33" s="21">
        <f t="shared" si="20"/>
        <v>0</v>
      </c>
      <c r="K33" s="21">
        <f t="shared" si="20"/>
        <v>63054</v>
      </c>
      <c r="L33" s="21">
        <f t="shared" si="20"/>
        <v>0</v>
      </c>
      <c r="M33" s="21">
        <f t="shared" si="20"/>
        <v>0</v>
      </c>
      <c r="N33" s="21">
        <f t="shared" si="20"/>
        <v>0</v>
      </c>
      <c r="O33" s="21">
        <f t="shared" si="20"/>
        <v>353511</v>
      </c>
      <c r="P33" s="21">
        <f t="shared" si="20"/>
        <v>-410000</v>
      </c>
      <c r="Q33" s="21">
        <f t="shared" si="20"/>
        <v>-56489</v>
      </c>
      <c r="R33" s="21">
        <f t="shared" si="20"/>
        <v>686254</v>
      </c>
      <c r="S33" s="21">
        <f t="shared" si="20"/>
        <v>0</v>
      </c>
      <c r="T33" s="21">
        <f t="shared" si="20"/>
        <v>686254</v>
      </c>
      <c r="U33" s="21">
        <f t="shared" si="20"/>
        <v>13500</v>
      </c>
      <c r="V33" s="21">
        <f t="shared" si="20"/>
        <v>0</v>
      </c>
      <c r="W33" s="21">
        <f t="shared" si="20"/>
        <v>13500</v>
      </c>
      <c r="X33" s="21">
        <f t="shared" si="20"/>
        <v>-3067</v>
      </c>
      <c r="Y33" s="21">
        <f t="shared" si="20"/>
        <v>0</v>
      </c>
      <c r="Z33" s="21">
        <f t="shared" si="20"/>
        <v>-3067</v>
      </c>
      <c r="AA33" s="21">
        <f t="shared" si="20"/>
        <v>2767</v>
      </c>
      <c r="AB33" s="21">
        <f t="shared" si="20"/>
        <v>0</v>
      </c>
      <c r="AC33" s="21">
        <f t="shared" si="20"/>
        <v>2767</v>
      </c>
      <c r="AD33" s="21">
        <f t="shared" si="20"/>
        <v>0</v>
      </c>
      <c r="AE33" s="21">
        <f t="shared" si="20"/>
        <v>0</v>
      </c>
      <c r="AF33" s="21">
        <f t="shared" si="20"/>
        <v>0</v>
      </c>
      <c r="AG33" s="21">
        <f t="shared" si="20"/>
        <v>0</v>
      </c>
      <c r="AH33" s="21">
        <f t="shared" si="20"/>
        <v>0</v>
      </c>
      <c r="AI33" s="21">
        <f t="shared" si="20"/>
        <v>0</v>
      </c>
      <c r="AJ33" s="21">
        <f t="shared" si="20"/>
        <v>0</v>
      </c>
      <c r="AK33" s="21">
        <f t="shared" si="20"/>
        <v>0</v>
      </c>
      <c r="AL33" s="21">
        <f t="shared" si="20"/>
        <v>0</v>
      </c>
      <c r="AM33" s="21">
        <f t="shared" si="20"/>
        <v>0</v>
      </c>
      <c r="AN33" s="21">
        <f t="shared" si="20"/>
        <v>0</v>
      </c>
      <c r="AO33" s="21">
        <f t="shared" si="20"/>
        <v>0</v>
      </c>
    </row>
    <row r="34" spans="1:41" s="58" customFormat="1" ht="23.1" customHeight="1" x14ac:dyDescent="0.3">
      <c r="A34" s="22"/>
      <c r="B34" s="16"/>
      <c r="C34" s="18"/>
      <c r="D34" s="18"/>
      <c r="E34" s="3"/>
      <c r="F34" s="65"/>
      <c r="G34" s="65"/>
      <c r="H34" s="65"/>
      <c r="I34" s="66"/>
      <c r="J34" s="66"/>
      <c r="K34" s="66"/>
      <c r="L34" s="65"/>
      <c r="M34" s="65"/>
      <c r="N34" s="65"/>
      <c r="O34" s="66"/>
      <c r="P34" s="66"/>
      <c r="Q34" s="66"/>
      <c r="R34" s="65"/>
      <c r="S34" s="65"/>
      <c r="T34" s="65"/>
      <c r="U34" s="66"/>
      <c r="V34" s="66"/>
      <c r="W34" s="66"/>
      <c r="X34" s="65"/>
      <c r="Y34" s="65"/>
      <c r="Z34" s="65"/>
      <c r="AA34" s="66"/>
      <c r="AB34" s="66"/>
      <c r="AC34" s="66"/>
      <c r="AD34" s="65"/>
      <c r="AE34" s="65"/>
      <c r="AF34" s="65"/>
      <c r="AG34" s="66"/>
      <c r="AH34" s="66"/>
      <c r="AI34" s="66"/>
      <c r="AJ34" s="65"/>
      <c r="AK34" s="65"/>
      <c r="AL34" s="65"/>
      <c r="AM34" s="66"/>
      <c r="AN34" s="66"/>
      <c r="AO34" s="66"/>
    </row>
    <row r="35" spans="1:41" s="58" customFormat="1" ht="17.25" x14ac:dyDescent="0.3">
      <c r="A35" s="4" t="s">
        <v>9</v>
      </c>
      <c r="B35" s="16"/>
      <c r="C35" s="19"/>
      <c r="D35" s="19"/>
      <c r="E35" s="3"/>
      <c r="F35" s="65"/>
      <c r="G35" s="65"/>
      <c r="H35" s="65"/>
      <c r="I35" s="66"/>
      <c r="J35" s="66"/>
      <c r="K35" s="66"/>
      <c r="L35" s="65"/>
      <c r="M35" s="65"/>
      <c r="N35" s="65"/>
      <c r="O35" s="66"/>
      <c r="P35" s="66"/>
      <c r="Q35" s="66"/>
      <c r="R35" s="65"/>
      <c r="S35" s="65"/>
      <c r="T35" s="65"/>
      <c r="U35" s="66"/>
      <c r="V35" s="66"/>
      <c r="W35" s="66"/>
      <c r="X35" s="65"/>
      <c r="Y35" s="65"/>
      <c r="Z35" s="65"/>
      <c r="AA35" s="66"/>
      <c r="AB35" s="66"/>
      <c r="AC35" s="66"/>
      <c r="AD35" s="65"/>
      <c r="AE35" s="65"/>
      <c r="AF35" s="65"/>
      <c r="AG35" s="66"/>
      <c r="AH35" s="66"/>
      <c r="AI35" s="66"/>
      <c r="AJ35" s="65"/>
      <c r="AK35" s="65"/>
      <c r="AL35" s="65"/>
      <c r="AM35" s="66"/>
      <c r="AN35" s="66"/>
      <c r="AO35" s="66"/>
    </row>
    <row r="36" spans="1:41" s="58" customFormat="1" ht="9.9499999999999993" customHeight="1" x14ac:dyDescent="0.3">
      <c r="A36" s="4"/>
      <c r="B36" s="16"/>
      <c r="C36" s="19"/>
      <c r="D36" s="19"/>
      <c r="E36" s="3"/>
      <c r="F36" s="65"/>
      <c r="G36" s="65"/>
      <c r="H36" s="65"/>
      <c r="I36" s="66"/>
      <c r="J36" s="66"/>
      <c r="K36" s="66"/>
      <c r="L36" s="65"/>
      <c r="M36" s="65"/>
      <c r="N36" s="65"/>
      <c r="O36" s="66"/>
      <c r="P36" s="66"/>
      <c r="Q36" s="66"/>
      <c r="R36" s="65"/>
      <c r="S36" s="65"/>
      <c r="T36" s="65"/>
      <c r="U36" s="66"/>
      <c r="V36" s="66"/>
      <c r="W36" s="66"/>
      <c r="X36" s="65"/>
      <c r="Y36" s="65"/>
      <c r="Z36" s="65"/>
      <c r="AA36" s="66"/>
      <c r="AB36" s="66"/>
      <c r="AC36" s="66"/>
      <c r="AD36" s="65"/>
      <c r="AE36" s="65"/>
      <c r="AF36" s="65"/>
      <c r="AG36" s="66"/>
      <c r="AH36" s="66"/>
      <c r="AI36" s="66"/>
      <c r="AJ36" s="65"/>
      <c r="AK36" s="65"/>
      <c r="AL36" s="65"/>
      <c r="AM36" s="66"/>
      <c r="AN36" s="66"/>
      <c r="AO36" s="66"/>
    </row>
    <row r="37" spans="1:41" s="58" customFormat="1" ht="17.25" x14ac:dyDescent="0.3">
      <c r="A37" s="15" t="s">
        <v>10</v>
      </c>
      <c r="B37" s="16"/>
      <c r="C37" s="14">
        <f>H37+K37+N37+Q37+T37+W37+Z37+AC37+AF37+AI37+AL37+AO37</f>
        <v>2580</v>
      </c>
      <c r="D37" s="19">
        <v>0</v>
      </c>
      <c r="E37" s="3"/>
      <c r="F37" s="132">
        <v>79</v>
      </c>
      <c r="G37" s="65"/>
      <c r="H37" s="65">
        <f t="shared" si="0"/>
        <v>79</v>
      </c>
      <c r="I37" s="132">
        <v>243</v>
      </c>
      <c r="J37" s="66"/>
      <c r="K37" s="66">
        <f t="shared" si="1"/>
        <v>243</v>
      </c>
      <c r="L37" s="132">
        <v>0</v>
      </c>
      <c r="M37" s="65"/>
      <c r="N37" s="65">
        <f t="shared" si="2"/>
        <v>0</v>
      </c>
      <c r="O37" s="132">
        <v>372</v>
      </c>
      <c r="P37" s="66"/>
      <c r="Q37" s="66">
        <f t="shared" si="3"/>
        <v>372</v>
      </c>
      <c r="R37" s="132">
        <v>1781</v>
      </c>
      <c r="S37" s="65"/>
      <c r="T37" s="65">
        <f t="shared" si="4"/>
        <v>1781</v>
      </c>
      <c r="U37" s="132">
        <v>22</v>
      </c>
      <c r="V37" s="66"/>
      <c r="W37" s="66">
        <f t="shared" si="5"/>
        <v>22</v>
      </c>
      <c r="X37" s="132">
        <v>49</v>
      </c>
      <c r="Y37" s="65"/>
      <c r="Z37" s="65">
        <f t="shared" si="6"/>
        <v>49</v>
      </c>
      <c r="AA37" s="132">
        <v>34</v>
      </c>
      <c r="AB37" s="66"/>
      <c r="AC37" s="66">
        <f t="shared" si="7"/>
        <v>34</v>
      </c>
      <c r="AD37" s="65"/>
      <c r="AE37" s="65"/>
      <c r="AF37" s="65">
        <f t="shared" si="8"/>
        <v>0</v>
      </c>
      <c r="AG37" s="66"/>
      <c r="AH37" s="66"/>
      <c r="AI37" s="66">
        <f t="shared" si="9"/>
        <v>0</v>
      </c>
      <c r="AJ37" s="65"/>
      <c r="AK37" s="65"/>
      <c r="AL37" s="65">
        <f t="shared" si="10"/>
        <v>0</v>
      </c>
      <c r="AM37" s="66"/>
      <c r="AN37" s="66"/>
      <c r="AO37" s="66">
        <f t="shared" ref="AO37:AO39" si="21">AM37+AN37</f>
        <v>0</v>
      </c>
    </row>
    <row r="38" spans="1:41" s="58" customFormat="1" ht="17.25" x14ac:dyDescent="0.3">
      <c r="A38" s="68" t="s">
        <v>64</v>
      </c>
      <c r="B38" s="16"/>
      <c r="C38" s="14">
        <f>H38+K38+N38+Q38+T38+W38+Z38+AC38+AF38+AI38+AL38+AO38</f>
        <v>328220</v>
      </c>
      <c r="D38" s="19"/>
      <c r="E38" s="3"/>
      <c r="F38" s="132">
        <v>75005</v>
      </c>
      <c r="G38" s="65"/>
      <c r="H38" s="65">
        <f t="shared" si="0"/>
        <v>75005</v>
      </c>
      <c r="I38" s="132"/>
      <c r="J38" s="66"/>
      <c r="K38" s="66">
        <f t="shared" si="1"/>
        <v>0</v>
      </c>
      <c r="L38" s="132"/>
      <c r="M38" s="65"/>
      <c r="N38" s="65">
        <f t="shared" si="2"/>
        <v>0</v>
      </c>
      <c r="O38" s="132">
        <v>253215</v>
      </c>
      <c r="P38" s="66"/>
      <c r="Q38" s="66">
        <f t="shared" si="3"/>
        <v>253215</v>
      </c>
      <c r="R38" s="132">
        <v>0</v>
      </c>
      <c r="S38" s="65"/>
      <c r="T38" s="65">
        <f t="shared" si="4"/>
        <v>0</v>
      </c>
      <c r="U38" s="132"/>
      <c r="V38" s="66"/>
      <c r="W38" s="66">
        <f t="shared" si="5"/>
        <v>0</v>
      </c>
      <c r="X38" s="132"/>
      <c r="Y38" s="65"/>
      <c r="Z38" s="65">
        <f t="shared" si="6"/>
        <v>0</v>
      </c>
      <c r="AA38" s="132"/>
      <c r="AB38" s="66"/>
      <c r="AC38" s="66">
        <f t="shared" si="7"/>
        <v>0</v>
      </c>
      <c r="AD38" s="65"/>
      <c r="AE38" s="65"/>
      <c r="AF38" s="65">
        <f t="shared" si="8"/>
        <v>0</v>
      </c>
      <c r="AG38" s="66"/>
      <c r="AH38" s="66"/>
      <c r="AI38" s="66">
        <f t="shared" si="9"/>
        <v>0</v>
      </c>
      <c r="AJ38" s="65"/>
      <c r="AK38" s="65"/>
      <c r="AL38" s="65">
        <f t="shared" si="10"/>
        <v>0</v>
      </c>
      <c r="AM38" s="66"/>
      <c r="AN38" s="66"/>
      <c r="AO38" s="66">
        <f t="shared" si="21"/>
        <v>0</v>
      </c>
    </row>
    <row r="39" spans="1:41" s="58" customFormat="1" ht="17.25" x14ac:dyDescent="0.3">
      <c r="A39" s="68" t="s">
        <v>65</v>
      </c>
      <c r="B39" s="16"/>
      <c r="C39" s="14">
        <f>H39+K39+N39+Q39+T39+W39+Z39+AC39+AF39+AI39+AL39+AO39</f>
        <v>0</v>
      </c>
      <c r="D39" s="19"/>
      <c r="E39" s="3"/>
      <c r="F39" s="132"/>
      <c r="G39" s="65"/>
      <c r="H39" s="65">
        <f t="shared" si="0"/>
        <v>0</v>
      </c>
      <c r="I39" s="132"/>
      <c r="J39" s="66"/>
      <c r="K39" s="66">
        <f t="shared" si="1"/>
        <v>0</v>
      </c>
      <c r="L39" s="132"/>
      <c r="M39" s="65"/>
      <c r="N39" s="65">
        <f t="shared" si="2"/>
        <v>0</v>
      </c>
      <c r="O39" s="132"/>
      <c r="P39" s="66"/>
      <c r="Q39" s="66">
        <f t="shared" si="3"/>
        <v>0</v>
      </c>
      <c r="R39" s="132"/>
      <c r="S39" s="65"/>
      <c r="T39" s="65">
        <f t="shared" si="4"/>
        <v>0</v>
      </c>
      <c r="U39" s="132"/>
      <c r="V39" s="66"/>
      <c r="W39" s="66">
        <f t="shared" si="5"/>
        <v>0</v>
      </c>
      <c r="X39" s="132"/>
      <c r="Y39" s="65"/>
      <c r="Z39" s="65">
        <f t="shared" si="6"/>
        <v>0</v>
      </c>
      <c r="AA39" s="132"/>
      <c r="AB39" s="66"/>
      <c r="AC39" s="66">
        <f t="shared" si="7"/>
        <v>0</v>
      </c>
      <c r="AD39" s="65"/>
      <c r="AE39" s="65"/>
      <c r="AF39" s="65">
        <f t="shared" si="8"/>
        <v>0</v>
      </c>
      <c r="AG39" s="66"/>
      <c r="AH39" s="66"/>
      <c r="AI39" s="66">
        <f t="shared" si="9"/>
        <v>0</v>
      </c>
      <c r="AJ39" s="65"/>
      <c r="AK39" s="65"/>
      <c r="AL39" s="65">
        <f t="shared" si="10"/>
        <v>0</v>
      </c>
      <c r="AM39" s="66"/>
      <c r="AN39" s="66"/>
      <c r="AO39" s="66">
        <f t="shared" si="21"/>
        <v>0</v>
      </c>
    </row>
    <row r="40" spans="1:41" s="58" customFormat="1" ht="21.95" customHeight="1" x14ac:dyDescent="0.3">
      <c r="A40" s="4" t="s">
        <v>11</v>
      </c>
      <c r="B40" s="16"/>
      <c r="C40" s="17">
        <f>C37-C38-C39</f>
        <v>-325640</v>
      </c>
      <c r="D40" s="17">
        <f>SUM(D37:D37)</f>
        <v>0</v>
      </c>
      <c r="E40" s="3"/>
      <c r="F40" s="17">
        <f t="shared" ref="F40:AO40" si="22">F37-F38-F39</f>
        <v>-74926</v>
      </c>
      <c r="G40" s="17">
        <f t="shared" si="22"/>
        <v>0</v>
      </c>
      <c r="H40" s="17">
        <f t="shared" si="22"/>
        <v>-74926</v>
      </c>
      <c r="I40" s="17">
        <f t="shared" si="22"/>
        <v>243</v>
      </c>
      <c r="J40" s="17">
        <f t="shared" si="22"/>
        <v>0</v>
      </c>
      <c r="K40" s="17">
        <f t="shared" si="22"/>
        <v>243</v>
      </c>
      <c r="L40" s="17">
        <f t="shared" si="22"/>
        <v>0</v>
      </c>
      <c r="M40" s="17">
        <f t="shared" si="22"/>
        <v>0</v>
      </c>
      <c r="N40" s="17">
        <f t="shared" si="22"/>
        <v>0</v>
      </c>
      <c r="O40" s="17">
        <f t="shared" si="22"/>
        <v>-252843</v>
      </c>
      <c r="P40" s="17">
        <f t="shared" si="22"/>
        <v>0</v>
      </c>
      <c r="Q40" s="17">
        <f t="shared" si="22"/>
        <v>-252843</v>
      </c>
      <c r="R40" s="17">
        <f t="shared" si="22"/>
        <v>1781</v>
      </c>
      <c r="S40" s="17">
        <f t="shared" si="22"/>
        <v>0</v>
      </c>
      <c r="T40" s="17">
        <f t="shared" si="22"/>
        <v>1781</v>
      </c>
      <c r="U40" s="17">
        <f t="shared" si="22"/>
        <v>22</v>
      </c>
      <c r="V40" s="17">
        <f t="shared" si="22"/>
        <v>0</v>
      </c>
      <c r="W40" s="17">
        <f t="shared" si="22"/>
        <v>22</v>
      </c>
      <c r="X40" s="17">
        <f t="shared" si="22"/>
        <v>49</v>
      </c>
      <c r="Y40" s="17">
        <f t="shared" si="22"/>
        <v>0</v>
      </c>
      <c r="Z40" s="17">
        <f t="shared" si="22"/>
        <v>49</v>
      </c>
      <c r="AA40" s="17">
        <f t="shared" si="22"/>
        <v>34</v>
      </c>
      <c r="AB40" s="17">
        <f t="shared" si="22"/>
        <v>0</v>
      </c>
      <c r="AC40" s="17">
        <f t="shared" si="22"/>
        <v>34</v>
      </c>
      <c r="AD40" s="17">
        <f t="shared" si="22"/>
        <v>0</v>
      </c>
      <c r="AE40" s="17">
        <f t="shared" si="22"/>
        <v>0</v>
      </c>
      <c r="AF40" s="17">
        <f t="shared" si="22"/>
        <v>0</v>
      </c>
      <c r="AG40" s="17">
        <f t="shared" si="22"/>
        <v>0</v>
      </c>
      <c r="AH40" s="17">
        <f t="shared" si="22"/>
        <v>0</v>
      </c>
      <c r="AI40" s="17">
        <f t="shared" si="22"/>
        <v>0</v>
      </c>
      <c r="AJ40" s="17">
        <f t="shared" si="22"/>
        <v>0</v>
      </c>
      <c r="AK40" s="17">
        <f t="shared" si="22"/>
        <v>0</v>
      </c>
      <c r="AL40" s="17">
        <f t="shared" si="22"/>
        <v>0</v>
      </c>
      <c r="AM40" s="17">
        <f t="shared" si="22"/>
        <v>0</v>
      </c>
      <c r="AN40" s="17">
        <f t="shared" si="22"/>
        <v>0</v>
      </c>
      <c r="AO40" s="17">
        <f t="shared" si="22"/>
        <v>0</v>
      </c>
    </row>
    <row r="41" spans="1:41" s="58" customFormat="1" ht="17.25" x14ac:dyDescent="0.3">
      <c r="A41" s="15"/>
      <c r="B41" s="16"/>
      <c r="C41" s="18"/>
      <c r="D41" s="18"/>
      <c r="E41" s="3"/>
      <c r="F41" s="65"/>
      <c r="G41" s="65"/>
      <c r="H41" s="65">
        <f t="shared" si="0"/>
        <v>0</v>
      </c>
      <c r="I41" s="66"/>
      <c r="J41" s="66"/>
      <c r="K41" s="66">
        <f t="shared" si="1"/>
        <v>0</v>
      </c>
      <c r="L41" s="65"/>
      <c r="M41" s="65"/>
      <c r="N41" s="65">
        <f t="shared" si="2"/>
        <v>0</v>
      </c>
      <c r="O41" s="66"/>
      <c r="P41" s="66"/>
      <c r="Q41" s="66">
        <f t="shared" si="3"/>
        <v>0</v>
      </c>
      <c r="R41" s="65"/>
      <c r="S41" s="65"/>
      <c r="T41" s="65">
        <f t="shared" si="4"/>
        <v>0</v>
      </c>
      <c r="U41" s="66"/>
      <c r="V41" s="66"/>
      <c r="W41" s="66">
        <f t="shared" si="5"/>
        <v>0</v>
      </c>
      <c r="X41" s="65"/>
      <c r="Y41" s="65"/>
      <c r="Z41" s="65">
        <f t="shared" si="6"/>
        <v>0</v>
      </c>
      <c r="AA41" s="66"/>
      <c r="AB41" s="66"/>
      <c r="AC41" s="66">
        <f t="shared" si="7"/>
        <v>0</v>
      </c>
      <c r="AD41" s="65"/>
      <c r="AE41" s="65"/>
      <c r="AF41" s="65">
        <f t="shared" si="8"/>
        <v>0</v>
      </c>
      <c r="AG41" s="66"/>
      <c r="AH41" s="66"/>
      <c r="AI41" s="66">
        <f t="shared" si="9"/>
        <v>0</v>
      </c>
      <c r="AJ41" s="65"/>
      <c r="AK41" s="65"/>
      <c r="AL41" s="65">
        <f t="shared" si="10"/>
        <v>0</v>
      </c>
      <c r="AM41" s="66"/>
      <c r="AN41" s="66"/>
      <c r="AO41" s="66">
        <f t="shared" ref="AO41" si="23">AM41+AN41</f>
        <v>0</v>
      </c>
    </row>
    <row r="42" spans="1:41" s="58" customFormat="1" ht="18" thickBot="1" x14ac:dyDescent="0.35">
      <c r="A42" s="4" t="s">
        <v>12</v>
      </c>
      <c r="B42" s="16"/>
      <c r="C42" s="23">
        <f>C33+C40</f>
        <v>677619</v>
      </c>
      <c r="D42" s="23">
        <f>D33+D40</f>
        <v>280000</v>
      </c>
      <c r="E42" s="3"/>
      <c r="F42" s="23">
        <f t="shared" ref="F42:AO42" si="24">F33+F40</f>
        <v>322314</v>
      </c>
      <c r="G42" s="23">
        <f t="shared" si="24"/>
        <v>-100000</v>
      </c>
      <c r="H42" s="23">
        <f t="shared" si="24"/>
        <v>222314</v>
      </c>
      <c r="I42" s="23">
        <f t="shared" si="24"/>
        <v>63297</v>
      </c>
      <c r="J42" s="23">
        <f t="shared" si="24"/>
        <v>0</v>
      </c>
      <c r="K42" s="23">
        <f t="shared" si="24"/>
        <v>63297</v>
      </c>
      <c r="L42" s="23">
        <f t="shared" si="24"/>
        <v>0</v>
      </c>
      <c r="M42" s="23">
        <f t="shared" si="24"/>
        <v>0</v>
      </c>
      <c r="N42" s="23">
        <f t="shared" si="24"/>
        <v>0</v>
      </c>
      <c r="O42" s="23">
        <f t="shared" si="24"/>
        <v>100668</v>
      </c>
      <c r="P42" s="23">
        <f t="shared" si="24"/>
        <v>-410000</v>
      </c>
      <c r="Q42" s="23">
        <f t="shared" si="24"/>
        <v>-309332</v>
      </c>
      <c r="R42" s="23">
        <f t="shared" si="24"/>
        <v>688035</v>
      </c>
      <c r="S42" s="23">
        <f t="shared" si="24"/>
        <v>0</v>
      </c>
      <c r="T42" s="23">
        <f t="shared" si="24"/>
        <v>688035</v>
      </c>
      <c r="U42" s="23">
        <f t="shared" si="24"/>
        <v>13522</v>
      </c>
      <c r="V42" s="23">
        <f t="shared" si="24"/>
        <v>0</v>
      </c>
      <c r="W42" s="23">
        <f t="shared" si="24"/>
        <v>13522</v>
      </c>
      <c r="X42" s="23">
        <f t="shared" si="24"/>
        <v>-3018</v>
      </c>
      <c r="Y42" s="23">
        <f t="shared" si="24"/>
        <v>0</v>
      </c>
      <c r="Z42" s="23">
        <f t="shared" si="24"/>
        <v>-3018</v>
      </c>
      <c r="AA42" s="23">
        <f t="shared" si="24"/>
        <v>2801</v>
      </c>
      <c r="AB42" s="23">
        <f t="shared" si="24"/>
        <v>0</v>
      </c>
      <c r="AC42" s="23">
        <f t="shared" si="24"/>
        <v>2801</v>
      </c>
      <c r="AD42" s="23">
        <f t="shared" si="24"/>
        <v>0</v>
      </c>
      <c r="AE42" s="23">
        <f t="shared" si="24"/>
        <v>0</v>
      </c>
      <c r="AF42" s="23">
        <f t="shared" si="24"/>
        <v>0</v>
      </c>
      <c r="AG42" s="23">
        <f t="shared" si="24"/>
        <v>0</v>
      </c>
      <c r="AH42" s="23">
        <f t="shared" si="24"/>
        <v>0</v>
      </c>
      <c r="AI42" s="23">
        <f t="shared" si="24"/>
        <v>0</v>
      </c>
      <c r="AJ42" s="23">
        <f t="shared" si="24"/>
        <v>0</v>
      </c>
      <c r="AK42" s="23">
        <f t="shared" si="24"/>
        <v>0</v>
      </c>
      <c r="AL42" s="23">
        <f t="shared" si="24"/>
        <v>0</v>
      </c>
      <c r="AM42" s="23">
        <f t="shared" si="24"/>
        <v>0</v>
      </c>
      <c r="AN42" s="23">
        <f t="shared" si="24"/>
        <v>0</v>
      </c>
      <c r="AO42" s="23">
        <f t="shared" si="24"/>
        <v>0</v>
      </c>
    </row>
    <row r="43" spans="1:41" s="58" customFormat="1" ht="18" thickTop="1" x14ac:dyDescent="0.3">
      <c r="A43" s="15"/>
      <c r="B43" s="16"/>
      <c r="C43" s="24"/>
      <c r="D43" s="24"/>
      <c r="E43" s="3"/>
      <c r="F43" s="65"/>
      <c r="G43" s="65"/>
      <c r="H43" s="65"/>
      <c r="I43" s="66"/>
      <c r="J43" s="66"/>
      <c r="K43" s="66"/>
      <c r="L43" s="65"/>
      <c r="M43" s="65"/>
      <c r="N43" s="65"/>
      <c r="O43" s="66"/>
      <c r="P43" s="66"/>
      <c r="Q43" s="66"/>
      <c r="R43" s="65"/>
      <c r="S43" s="65"/>
      <c r="T43" s="65"/>
      <c r="U43" s="66"/>
      <c r="V43" s="66"/>
      <c r="W43" s="66"/>
      <c r="X43" s="65"/>
      <c r="Y43" s="65"/>
      <c r="Z43" s="65"/>
      <c r="AA43" s="66"/>
      <c r="AB43" s="66"/>
      <c r="AC43" s="66"/>
      <c r="AD43" s="65"/>
      <c r="AE43" s="65"/>
      <c r="AF43" s="65"/>
      <c r="AG43" s="66"/>
      <c r="AH43" s="66"/>
      <c r="AI43" s="66"/>
      <c r="AJ43" s="65"/>
      <c r="AK43" s="65"/>
      <c r="AL43" s="65"/>
      <c r="AM43" s="66"/>
      <c r="AN43" s="66"/>
      <c r="AO43" s="66"/>
    </row>
    <row r="44" spans="1:41" s="58" customFormat="1" ht="21.95" customHeight="1" x14ac:dyDescent="0.3">
      <c r="A44" s="15"/>
      <c r="B44" s="16"/>
      <c r="C44" s="24"/>
      <c r="D44" s="24"/>
      <c r="E44" s="3"/>
      <c r="F44" s="65"/>
      <c r="G44" s="65"/>
      <c r="H44" s="65"/>
      <c r="I44" s="66"/>
      <c r="J44" s="66"/>
      <c r="K44" s="66"/>
      <c r="L44" s="65"/>
      <c r="M44" s="65"/>
      <c r="N44" s="65"/>
      <c r="O44" s="66"/>
      <c r="P44" s="66"/>
      <c r="Q44" s="66"/>
      <c r="R44" s="65"/>
      <c r="S44" s="65"/>
      <c r="T44" s="65"/>
      <c r="U44" s="66"/>
      <c r="V44" s="66"/>
      <c r="W44" s="66"/>
      <c r="X44" s="65"/>
      <c r="Y44" s="65"/>
      <c r="Z44" s="65"/>
      <c r="AA44" s="66"/>
      <c r="AB44" s="66"/>
      <c r="AC44" s="66"/>
      <c r="AD44" s="65"/>
      <c r="AE44" s="65"/>
      <c r="AF44" s="65"/>
      <c r="AG44" s="66"/>
      <c r="AH44" s="66"/>
      <c r="AI44" s="66"/>
      <c r="AJ44" s="65"/>
      <c r="AK44" s="65"/>
      <c r="AL44" s="65"/>
      <c r="AM44" s="66"/>
      <c r="AN44" s="66"/>
      <c r="AO44" s="66"/>
    </row>
    <row r="45" spans="1:41" s="58" customFormat="1" ht="17.25" x14ac:dyDescent="0.3">
      <c r="A45" s="4" t="s">
        <v>13</v>
      </c>
      <c r="B45" s="25"/>
      <c r="C45" s="26"/>
      <c r="D45" s="26"/>
      <c r="E45" s="3"/>
      <c r="F45" s="65"/>
      <c r="G45" s="65"/>
      <c r="H45" s="65"/>
      <c r="I45" s="66"/>
      <c r="J45" s="66"/>
      <c r="K45" s="66"/>
      <c r="L45" s="65"/>
      <c r="M45" s="65"/>
      <c r="N45" s="65"/>
      <c r="O45" s="66"/>
      <c r="P45" s="66"/>
      <c r="Q45" s="66"/>
      <c r="R45" s="65"/>
      <c r="S45" s="65"/>
      <c r="T45" s="65"/>
      <c r="U45" s="66"/>
      <c r="V45" s="66"/>
      <c r="W45" s="66"/>
      <c r="X45" s="65"/>
      <c r="Y45" s="65"/>
      <c r="Z45" s="65"/>
      <c r="AA45" s="66"/>
      <c r="AB45" s="66"/>
      <c r="AC45" s="66"/>
      <c r="AD45" s="65"/>
      <c r="AE45" s="65"/>
      <c r="AF45" s="65"/>
      <c r="AG45" s="66"/>
      <c r="AH45" s="66"/>
      <c r="AI45" s="66"/>
      <c r="AJ45" s="65"/>
      <c r="AK45" s="65"/>
      <c r="AL45" s="65"/>
      <c r="AM45" s="66"/>
      <c r="AN45" s="66"/>
      <c r="AO45" s="66"/>
    </row>
    <row r="46" spans="1:41" s="58" customFormat="1" ht="17.25" x14ac:dyDescent="0.3">
      <c r="A46" s="15" t="s">
        <v>14</v>
      </c>
      <c r="B46" s="16"/>
      <c r="C46" s="14">
        <f>H46+K46+N46+Q46+T46+W46+Z46+AC46+AF46+AI46+AL46+AO46</f>
        <v>677619</v>
      </c>
      <c r="D46" s="27">
        <f>D42</f>
        <v>280000</v>
      </c>
      <c r="E46" s="3"/>
      <c r="F46" s="27">
        <f>F42</f>
        <v>322314</v>
      </c>
      <c r="G46" s="27">
        <f t="shared" ref="G46:AO46" si="25">G42</f>
        <v>-100000</v>
      </c>
      <c r="H46" s="27">
        <f t="shared" si="25"/>
        <v>222314</v>
      </c>
      <c r="I46" s="27">
        <f t="shared" si="25"/>
        <v>63297</v>
      </c>
      <c r="J46" s="27">
        <f t="shared" si="25"/>
        <v>0</v>
      </c>
      <c r="K46" s="27">
        <f t="shared" si="25"/>
        <v>63297</v>
      </c>
      <c r="L46" s="27">
        <f t="shared" si="25"/>
        <v>0</v>
      </c>
      <c r="M46" s="27">
        <f t="shared" si="25"/>
        <v>0</v>
      </c>
      <c r="N46" s="27">
        <f>L46+M46</f>
        <v>0</v>
      </c>
      <c r="O46" s="27">
        <f t="shared" si="25"/>
        <v>100668</v>
      </c>
      <c r="P46" s="27">
        <f t="shared" si="25"/>
        <v>-410000</v>
      </c>
      <c r="Q46" s="27">
        <f t="shared" si="25"/>
        <v>-309332</v>
      </c>
      <c r="R46" s="27">
        <f t="shared" si="25"/>
        <v>688035</v>
      </c>
      <c r="S46" s="121">
        <f>S42</f>
        <v>0</v>
      </c>
      <c r="T46" s="27">
        <f>R46+S46</f>
        <v>688035</v>
      </c>
      <c r="U46" s="27">
        <f t="shared" si="25"/>
        <v>13522</v>
      </c>
      <c r="V46" s="27">
        <f t="shared" si="25"/>
        <v>0</v>
      </c>
      <c r="W46" s="27">
        <f t="shared" si="25"/>
        <v>13522</v>
      </c>
      <c r="X46" s="27">
        <f t="shared" si="25"/>
        <v>-3018</v>
      </c>
      <c r="Y46" s="27">
        <f t="shared" si="25"/>
        <v>0</v>
      </c>
      <c r="Z46" s="27">
        <f t="shared" si="25"/>
        <v>-3018</v>
      </c>
      <c r="AA46" s="27">
        <f t="shared" si="25"/>
        <v>2801</v>
      </c>
      <c r="AB46" s="27">
        <f t="shared" si="25"/>
        <v>0</v>
      </c>
      <c r="AC46" s="27">
        <f t="shared" si="25"/>
        <v>2801</v>
      </c>
      <c r="AD46" s="27">
        <f t="shared" si="25"/>
        <v>0</v>
      </c>
      <c r="AE46" s="27">
        <f t="shared" si="25"/>
        <v>0</v>
      </c>
      <c r="AF46" s="27">
        <f t="shared" si="25"/>
        <v>0</v>
      </c>
      <c r="AG46" s="27">
        <f t="shared" si="25"/>
        <v>0</v>
      </c>
      <c r="AH46" s="27">
        <f t="shared" si="25"/>
        <v>0</v>
      </c>
      <c r="AI46" s="27">
        <f t="shared" si="25"/>
        <v>0</v>
      </c>
      <c r="AJ46" s="27">
        <f t="shared" si="25"/>
        <v>0</v>
      </c>
      <c r="AK46" s="27">
        <f t="shared" si="25"/>
        <v>0</v>
      </c>
      <c r="AL46" s="27">
        <f t="shared" si="25"/>
        <v>0</v>
      </c>
      <c r="AM46" s="27">
        <f t="shared" si="25"/>
        <v>0</v>
      </c>
      <c r="AN46" s="27">
        <f t="shared" si="25"/>
        <v>0</v>
      </c>
      <c r="AO46" s="27">
        <f t="shared" si="25"/>
        <v>0</v>
      </c>
    </row>
    <row r="47" spans="1:41" s="58" customFormat="1" ht="18.95" customHeight="1" thickBot="1" x14ac:dyDescent="0.35">
      <c r="A47" s="4" t="s">
        <v>15</v>
      </c>
      <c r="B47" s="16"/>
      <c r="C47" s="23">
        <f>SUM(C46:C46)</f>
        <v>677619</v>
      </c>
      <c r="D47" s="23">
        <f>D42</f>
        <v>280000</v>
      </c>
      <c r="E47" s="3"/>
      <c r="F47" s="23">
        <f t="shared" ref="F47:AO47" si="26">SUM(F46:F46)</f>
        <v>322314</v>
      </c>
      <c r="G47" s="23">
        <f t="shared" si="26"/>
        <v>-100000</v>
      </c>
      <c r="H47" s="23">
        <f t="shared" si="26"/>
        <v>222314</v>
      </c>
      <c r="I47" s="23">
        <f t="shared" si="26"/>
        <v>63297</v>
      </c>
      <c r="J47" s="23">
        <f t="shared" si="26"/>
        <v>0</v>
      </c>
      <c r="K47" s="23">
        <f t="shared" si="26"/>
        <v>63297</v>
      </c>
      <c r="L47" s="23">
        <f t="shared" si="26"/>
        <v>0</v>
      </c>
      <c r="M47" s="23">
        <f t="shared" si="26"/>
        <v>0</v>
      </c>
      <c r="N47" s="23">
        <f t="shared" si="26"/>
        <v>0</v>
      </c>
      <c r="O47" s="23">
        <f t="shared" si="26"/>
        <v>100668</v>
      </c>
      <c r="P47" s="23">
        <f t="shared" si="26"/>
        <v>-410000</v>
      </c>
      <c r="Q47" s="23">
        <f t="shared" si="26"/>
        <v>-309332</v>
      </c>
      <c r="R47" s="23">
        <f t="shared" si="26"/>
        <v>688035</v>
      </c>
      <c r="S47" s="23">
        <f t="shared" si="26"/>
        <v>0</v>
      </c>
      <c r="T47" s="23">
        <f t="shared" si="26"/>
        <v>688035</v>
      </c>
      <c r="U47" s="23">
        <f t="shared" si="26"/>
        <v>13522</v>
      </c>
      <c r="V47" s="23">
        <f t="shared" si="26"/>
        <v>0</v>
      </c>
      <c r="W47" s="23">
        <f t="shared" si="26"/>
        <v>13522</v>
      </c>
      <c r="X47" s="23">
        <f t="shared" si="26"/>
        <v>-3018</v>
      </c>
      <c r="Y47" s="23">
        <f t="shared" si="26"/>
        <v>0</v>
      </c>
      <c r="Z47" s="23">
        <f t="shared" si="26"/>
        <v>-3018</v>
      </c>
      <c r="AA47" s="23">
        <f t="shared" si="26"/>
        <v>2801</v>
      </c>
      <c r="AB47" s="23">
        <f t="shared" si="26"/>
        <v>0</v>
      </c>
      <c r="AC47" s="23">
        <f t="shared" si="26"/>
        <v>2801</v>
      </c>
      <c r="AD47" s="23">
        <f t="shared" si="26"/>
        <v>0</v>
      </c>
      <c r="AE47" s="23">
        <f t="shared" si="26"/>
        <v>0</v>
      </c>
      <c r="AF47" s="23">
        <f t="shared" si="26"/>
        <v>0</v>
      </c>
      <c r="AG47" s="23">
        <f t="shared" si="26"/>
        <v>0</v>
      </c>
      <c r="AH47" s="23">
        <f t="shared" si="26"/>
        <v>0</v>
      </c>
      <c r="AI47" s="23">
        <f t="shared" si="26"/>
        <v>0</v>
      </c>
      <c r="AJ47" s="23">
        <f t="shared" si="26"/>
        <v>0</v>
      </c>
      <c r="AK47" s="23">
        <f t="shared" si="26"/>
        <v>0</v>
      </c>
      <c r="AL47" s="23">
        <f t="shared" si="26"/>
        <v>0</v>
      </c>
      <c r="AM47" s="23">
        <f t="shared" si="26"/>
        <v>0</v>
      </c>
      <c r="AN47" s="23">
        <f t="shared" si="26"/>
        <v>0</v>
      </c>
      <c r="AO47" s="23">
        <f t="shared" si="26"/>
        <v>0</v>
      </c>
    </row>
    <row r="48" spans="1:41" s="58" customFormat="1" ht="18.95" customHeight="1" thickTop="1" x14ac:dyDescent="0.3">
      <c r="A48" s="4"/>
      <c r="B48" s="16"/>
      <c r="C48" s="28"/>
      <c r="D48" s="29"/>
      <c r="E48" s="3"/>
      <c r="F48" s="65"/>
      <c r="G48" s="65"/>
      <c r="H48" s="65"/>
      <c r="I48" s="66"/>
      <c r="J48" s="66"/>
      <c r="K48" s="66"/>
      <c r="L48" s="65"/>
      <c r="M48" s="65"/>
      <c r="N48" s="65"/>
      <c r="O48" s="66"/>
      <c r="P48" s="66"/>
      <c r="Q48" s="66"/>
      <c r="R48" s="65"/>
      <c r="S48" s="65"/>
      <c r="T48" s="65"/>
      <c r="U48" s="66"/>
      <c r="V48" s="66"/>
      <c r="W48" s="66"/>
      <c r="X48" s="65"/>
      <c r="Y48" s="65"/>
      <c r="Z48" s="65"/>
      <c r="AA48" s="66"/>
      <c r="AB48" s="66"/>
      <c r="AC48" s="66"/>
      <c r="AD48" s="65"/>
      <c r="AE48" s="65"/>
      <c r="AF48" s="65"/>
      <c r="AG48" s="66"/>
      <c r="AH48" s="66"/>
      <c r="AI48" s="66"/>
      <c r="AJ48" s="65"/>
      <c r="AK48" s="65"/>
      <c r="AL48" s="65"/>
      <c r="AM48" s="66"/>
      <c r="AN48" s="66"/>
      <c r="AO48" s="66"/>
    </row>
    <row r="49" spans="1:41" s="58" customFormat="1" ht="18.95" customHeight="1" x14ac:dyDescent="0.3">
      <c r="A49" s="4"/>
      <c r="B49" s="16"/>
      <c r="C49" s="28"/>
      <c r="D49" s="29"/>
      <c r="E49" s="3"/>
      <c r="F49" s="65"/>
      <c r="G49" s="65"/>
      <c r="H49" s="65"/>
      <c r="I49" s="66"/>
      <c r="J49" s="66"/>
      <c r="K49" s="66"/>
      <c r="L49" s="65"/>
      <c r="M49" s="65"/>
      <c r="N49" s="65"/>
      <c r="O49" s="66"/>
      <c r="P49" s="66"/>
      <c r="Q49" s="66"/>
      <c r="R49" s="65"/>
      <c r="S49" s="65"/>
      <c r="T49" s="65"/>
      <c r="U49" s="66"/>
      <c r="V49" s="66"/>
      <c r="W49" s="66"/>
      <c r="X49" s="65"/>
      <c r="Y49" s="65"/>
      <c r="Z49" s="65"/>
      <c r="AA49" s="66"/>
      <c r="AB49" s="66"/>
      <c r="AC49" s="66"/>
      <c r="AD49" s="65"/>
      <c r="AE49" s="65"/>
      <c r="AF49" s="65"/>
      <c r="AG49" s="66"/>
      <c r="AH49" s="66"/>
      <c r="AI49" s="66"/>
      <c r="AJ49" s="65"/>
      <c r="AK49" s="65"/>
      <c r="AL49" s="65"/>
      <c r="AM49" s="66"/>
      <c r="AN49" s="66"/>
      <c r="AO49" s="66"/>
    </row>
    <row r="50" spans="1:41" s="58" customFormat="1" ht="30" customHeight="1" x14ac:dyDescent="0.4">
      <c r="A50" s="1" t="str">
        <f>A1</f>
        <v>Otta Idrettslag - med undergrupper</v>
      </c>
      <c r="B50" s="16"/>
      <c r="C50" s="28"/>
      <c r="D50" s="29"/>
      <c r="E50" s="3"/>
      <c r="F50" s="65"/>
      <c r="G50" s="65"/>
      <c r="H50" s="65"/>
      <c r="I50" s="66"/>
      <c r="J50" s="66"/>
      <c r="K50" s="66"/>
      <c r="L50" s="65"/>
      <c r="M50" s="65"/>
      <c r="N50" s="65"/>
      <c r="O50" s="66"/>
      <c r="P50" s="66"/>
      <c r="Q50" s="66"/>
      <c r="R50" s="65"/>
      <c r="S50" s="65"/>
      <c r="T50" s="65"/>
      <c r="U50" s="66"/>
      <c r="V50" s="66"/>
      <c r="W50" s="66"/>
      <c r="X50" s="65"/>
      <c r="Y50" s="65"/>
      <c r="Z50" s="65"/>
      <c r="AA50" s="66"/>
      <c r="AB50" s="66"/>
      <c r="AC50" s="66"/>
      <c r="AD50" s="65"/>
      <c r="AE50" s="65"/>
      <c r="AF50" s="65"/>
      <c r="AG50" s="66"/>
      <c r="AH50" s="66"/>
      <c r="AI50" s="66"/>
      <c r="AJ50" s="65"/>
      <c r="AK50" s="65"/>
      <c r="AL50" s="65"/>
      <c r="AM50" s="66"/>
      <c r="AN50" s="66"/>
      <c r="AO50" s="66"/>
    </row>
    <row r="51" spans="1:41" s="58" customFormat="1" x14ac:dyDescent="0.2">
      <c r="A51" s="15"/>
      <c r="B51" s="131"/>
      <c r="C51" s="14"/>
      <c r="D51" s="14"/>
      <c r="E51" s="3"/>
      <c r="F51" s="65"/>
      <c r="G51" s="65"/>
      <c r="H51" s="65"/>
      <c r="I51" s="66"/>
      <c r="J51" s="66"/>
      <c r="K51" s="66"/>
      <c r="L51" s="65"/>
      <c r="M51" s="65"/>
      <c r="N51" s="65"/>
      <c r="O51" s="66"/>
      <c r="P51" s="66"/>
      <c r="Q51" s="66"/>
      <c r="R51" s="65"/>
      <c r="S51" s="65"/>
      <c r="T51" s="65"/>
      <c r="U51" s="66"/>
      <c r="V51" s="66"/>
      <c r="W51" s="66"/>
      <c r="X51" s="65"/>
      <c r="Y51" s="65"/>
      <c r="Z51" s="65"/>
      <c r="AA51" s="66"/>
      <c r="AB51" s="66"/>
      <c r="AC51" s="66"/>
      <c r="AD51" s="65"/>
      <c r="AE51" s="65"/>
      <c r="AF51" s="65"/>
      <c r="AG51" s="66"/>
      <c r="AH51" s="66"/>
      <c r="AI51" s="66"/>
      <c r="AJ51" s="65"/>
      <c r="AK51" s="65"/>
      <c r="AL51" s="65"/>
      <c r="AM51" s="66"/>
      <c r="AN51" s="66"/>
      <c r="AO51" s="66"/>
    </row>
    <row r="52" spans="1:41" s="58" customFormat="1" x14ac:dyDescent="0.2">
      <c r="A52" s="4" t="s">
        <v>16</v>
      </c>
      <c r="B52" s="131"/>
      <c r="C52" s="30"/>
      <c r="D52" s="30"/>
      <c r="E52" s="3"/>
      <c r="F52" s="65"/>
      <c r="G52" s="65"/>
      <c r="H52" s="65"/>
      <c r="I52" s="66"/>
      <c r="J52" s="66"/>
      <c r="K52" s="66"/>
      <c r="L52" s="65"/>
      <c r="M52" s="65"/>
      <c r="N52" s="65"/>
      <c r="O52" s="66"/>
      <c r="P52" s="66"/>
      <c r="Q52" s="66"/>
      <c r="R52" s="65"/>
      <c r="S52" s="65"/>
      <c r="T52" s="65"/>
      <c r="U52" s="66"/>
      <c r="V52" s="66"/>
      <c r="W52" s="66"/>
      <c r="X52" s="65"/>
      <c r="Y52" s="65"/>
      <c r="Z52" s="65"/>
      <c r="AA52" s="66"/>
      <c r="AB52" s="66"/>
      <c r="AC52" s="66"/>
      <c r="AD52" s="65"/>
      <c r="AE52" s="65"/>
      <c r="AF52" s="65"/>
      <c r="AG52" s="66"/>
      <c r="AH52" s="66"/>
      <c r="AI52" s="66"/>
      <c r="AJ52" s="65"/>
      <c r="AK52" s="65"/>
      <c r="AL52" s="65"/>
      <c r="AM52" s="66"/>
      <c r="AN52" s="66"/>
      <c r="AO52" s="66"/>
    </row>
    <row r="53" spans="1:41" s="58" customFormat="1" x14ac:dyDescent="0.2">
      <c r="A53" s="31"/>
      <c r="B53" s="32"/>
      <c r="C53" s="33">
        <f>C4</f>
        <v>2015</v>
      </c>
      <c r="D53" s="34"/>
      <c r="E53" s="3"/>
      <c r="F53" s="65"/>
      <c r="G53" s="65"/>
      <c r="H53" s="65"/>
      <c r="I53" s="66"/>
      <c r="J53" s="66"/>
      <c r="K53" s="66"/>
      <c r="L53" s="65"/>
      <c r="M53" s="65"/>
      <c r="N53" s="65"/>
      <c r="O53" s="66"/>
      <c r="P53" s="66"/>
      <c r="Q53" s="66"/>
      <c r="R53" s="65"/>
      <c r="S53" s="65"/>
      <c r="T53" s="65"/>
      <c r="U53" s="66"/>
      <c r="V53" s="66"/>
      <c r="W53" s="66"/>
      <c r="X53" s="65"/>
      <c r="Y53" s="65"/>
      <c r="Z53" s="65"/>
      <c r="AA53" s="66"/>
      <c r="AB53" s="66"/>
      <c r="AC53" s="66"/>
      <c r="AD53" s="65"/>
      <c r="AE53" s="65"/>
      <c r="AF53" s="65"/>
      <c r="AG53" s="66"/>
      <c r="AH53" s="66"/>
      <c r="AI53" s="66"/>
      <c r="AJ53" s="65"/>
      <c r="AK53" s="65"/>
      <c r="AL53" s="65"/>
      <c r="AM53" s="66"/>
      <c r="AN53" s="66"/>
      <c r="AO53" s="66"/>
    </row>
    <row r="54" spans="1:41" s="58" customFormat="1" ht="15.75" x14ac:dyDescent="0.25">
      <c r="A54" s="35" t="s">
        <v>17</v>
      </c>
      <c r="B54" s="36" t="s">
        <v>4</v>
      </c>
      <c r="C54" s="37"/>
      <c r="D54" s="38"/>
      <c r="E54" s="3"/>
      <c r="F54" s="65"/>
      <c r="G54" s="65"/>
      <c r="H54" s="65"/>
      <c r="I54" s="66"/>
      <c r="J54" s="66"/>
      <c r="K54" s="66"/>
      <c r="L54" s="65"/>
      <c r="M54" s="65"/>
      <c r="N54" s="65"/>
      <c r="O54" s="66"/>
      <c r="P54" s="66"/>
      <c r="Q54" s="66"/>
      <c r="R54" s="65"/>
      <c r="S54" s="65"/>
      <c r="T54" s="65"/>
      <c r="U54" s="66"/>
      <c r="V54" s="66"/>
      <c r="W54" s="66"/>
      <c r="X54" s="65"/>
      <c r="Y54" s="65"/>
      <c r="Z54" s="65"/>
      <c r="AA54" s="66"/>
      <c r="AB54" s="66"/>
      <c r="AC54" s="66"/>
      <c r="AD54" s="65"/>
      <c r="AE54" s="65"/>
      <c r="AF54" s="65"/>
      <c r="AG54" s="66"/>
      <c r="AH54" s="66"/>
      <c r="AI54" s="66"/>
      <c r="AJ54" s="65"/>
      <c r="AK54" s="65"/>
      <c r="AL54" s="65"/>
      <c r="AM54" s="66"/>
      <c r="AN54" s="66"/>
      <c r="AO54" s="66"/>
    </row>
    <row r="55" spans="1:41" s="58" customFormat="1" ht="19.5" customHeight="1" x14ac:dyDescent="0.25">
      <c r="A55" s="39"/>
      <c r="B55" s="40"/>
      <c r="C55" s="41"/>
      <c r="D55" s="38"/>
      <c r="E55" s="3"/>
      <c r="F55" s="65"/>
      <c r="G55" s="65"/>
      <c r="H55" s="65"/>
      <c r="I55" s="66"/>
      <c r="J55" s="66"/>
      <c r="K55" s="66"/>
      <c r="L55" s="65"/>
      <c r="M55" s="65"/>
      <c r="N55" s="65"/>
      <c r="O55" s="66"/>
      <c r="P55" s="66"/>
      <c r="Q55" s="66"/>
      <c r="R55" s="65"/>
      <c r="S55" s="65"/>
      <c r="T55" s="65"/>
      <c r="U55" s="66"/>
      <c r="V55" s="66"/>
      <c r="W55" s="66"/>
      <c r="X55" s="65"/>
      <c r="Y55" s="65"/>
      <c r="Z55" s="65"/>
      <c r="AA55" s="66"/>
      <c r="AB55" s="66"/>
      <c r="AC55" s="66"/>
      <c r="AD55" s="65"/>
      <c r="AE55" s="65"/>
      <c r="AF55" s="65"/>
      <c r="AG55" s="66"/>
      <c r="AH55" s="66"/>
      <c r="AI55" s="66"/>
      <c r="AJ55" s="65"/>
      <c r="AK55" s="65"/>
      <c r="AL55" s="65"/>
      <c r="AM55" s="66"/>
      <c r="AN55" s="66"/>
      <c r="AO55" s="66"/>
    </row>
    <row r="56" spans="1:41" s="58" customFormat="1" ht="15.75" x14ac:dyDescent="0.25">
      <c r="A56" s="4" t="s">
        <v>18</v>
      </c>
      <c r="B56" s="16"/>
      <c r="C56" s="41"/>
      <c r="D56" s="42"/>
      <c r="E56" s="3"/>
      <c r="F56" s="65"/>
      <c r="G56" s="65"/>
      <c r="H56" s="65"/>
      <c r="I56" s="66"/>
      <c r="J56" s="66"/>
      <c r="K56" s="66"/>
      <c r="L56" s="65"/>
      <c r="M56" s="65"/>
      <c r="N56" s="65"/>
      <c r="O56" s="66"/>
      <c r="P56" s="66"/>
      <c r="Q56" s="66"/>
      <c r="R56" s="65"/>
      <c r="S56" s="65"/>
      <c r="T56" s="65"/>
      <c r="U56" s="66"/>
      <c r="V56" s="66"/>
      <c r="W56" s="66"/>
      <c r="X56" s="65"/>
      <c r="Y56" s="65"/>
      <c r="Z56" s="65"/>
      <c r="AA56" s="66"/>
      <c r="AB56" s="66"/>
      <c r="AC56" s="66"/>
      <c r="AD56" s="65"/>
      <c r="AE56" s="65"/>
      <c r="AF56" s="65"/>
      <c r="AG56" s="66"/>
      <c r="AH56" s="66"/>
      <c r="AI56" s="66"/>
      <c r="AJ56" s="65"/>
      <c r="AK56" s="65"/>
      <c r="AL56" s="65"/>
      <c r="AM56" s="66"/>
      <c r="AN56" s="66"/>
      <c r="AO56" s="66"/>
    </row>
    <row r="57" spans="1:41" s="58" customFormat="1" ht="14.1" customHeight="1" x14ac:dyDescent="0.3">
      <c r="A57" s="15"/>
      <c r="B57" s="16"/>
      <c r="C57" s="41"/>
      <c r="D57" s="28"/>
      <c r="E57" s="3"/>
      <c r="F57" s="65"/>
      <c r="G57" s="65"/>
      <c r="H57" s="65"/>
      <c r="I57" s="66"/>
      <c r="J57" s="66"/>
      <c r="K57" s="66"/>
      <c r="L57" s="65"/>
      <c r="M57" s="65"/>
      <c r="N57" s="65"/>
      <c r="O57" s="66"/>
      <c r="P57" s="66"/>
      <c r="Q57" s="66"/>
      <c r="R57" s="65"/>
      <c r="S57" s="65"/>
      <c r="T57" s="65"/>
      <c r="U57" s="66"/>
      <c r="V57" s="66"/>
      <c r="W57" s="66"/>
      <c r="X57" s="65"/>
      <c r="Y57" s="65"/>
      <c r="Z57" s="65"/>
      <c r="AA57" s="66"/>
      <c r="AB57" s="66"/>
      <c r="AC57" s="66"/>
      <c r="AD57" s="65"/>
      <c r="AE57" s="65"/>
      <c r="AF57" s="65"/>
      <c r="AG57" s="66"/>
      <c r="AH57" s="66"/>
      <c r="AI57" s="66"/>
      <c r="AJ57" s="65"/>
      <c r="AK57" s="65"/>
      <c r="AL57" s="65"/>
      <c r="AM57" s="66"/>
      <c r="AN57" s="66"/>
      <c r="AO57" s="66"/>
    </row>
    <row r="58" spans="1:41" s="58" customFormat="1" ht="15.75" x14ac:dyDescent="0.25">
      <c r="A58" s="70" t="s">
        <v>70</v>
      </c>
      <c r="B58" s="16"/>
      <c r="C58" s="41"/>
      <c r="D58" s="42"/>
      <c r="E58" s="3"/>
      <c r="F58" s="65"/>
      <c r="G58" s="65"/>
      <c r="H58" s="65"/>
      <c r="I58" s="66"/>
      <c r="J58" s="66"/>
      <c r="K58" s="66"/>
      <c r="L58" s="65"/>
      <c r="M58" s="65"/>
      <c r="N58" s="65"/>
      <c r="O58" s="66"/>
      <c r="P58" s="66"/>
      <c r="Q58" s="66"/>
      <c r="R58" s="65"/>
      <c r="S58" s="65"/>
      <c r="T58" s="65"/>
      <c r="U58" s="66"/>
      <c r="V58" s="66"/>
      <c r="W58" s="66"/>
      <c r="X58" s="65"/>
      <c r="Y58" s="65"/>
      <c r="Z58" s="65"/>
      <c r="AA58" s="66"/>
      <c r="AB58" s="66"/>
      <c r="AC58" s="66"/>
      <c r="AD58" s="65"/>
      <c r="AE58" s="65"/>
      <c r="AF58" s="65"/>
      <c r="AG58" s="66"/>
      <c r="AH58" s="66"/>
      <c r="AI58" s="66"/>
      <c r="AJ58" s="65"/>
      <c r="AK58" s="65"/>
      <c r="AL58" s="65"/>
      <c r="AM58" s="66"/>
      <c r="AN58" s="66"/>
      <c r="AO58" s="66"/>
    </row>
    <row r="59" spans="1:41" s="58" customFormat="1" ht="15.75" x14ac:dyDescent="0.25">
      <c r="A59" s="68" t="s">
        <v>66</v>
      </c>
      <c r="B59" s="16"/>
      <c r="C59" s="14">
        <f>H59+K59+N59+Q59+T59+W59+Z59+AC59+AF59+AI59+AL59+AO59</f>
        <v>3555200</v>
      </c>
      <c r="D59" s="42"/>
      <c r="E59" s="3"/>
      <c r="F59" s="134">
        <v>1438200</v>
      </c>
      <c r="G59" s="65"/>
      <c r="H59" s="65">
        <f t="shared" ref="H59:H95" si="27">F59+G59</f>
        <v>1438200</v>
      </c>
      <c r="I59" s="132">
        <v>0</v>
      </c>
      <c r="J59" s="66"/>
      <c r="K59" s="66">
        <f t="shared" ref="K59:K95" si="28">I59+J59</f>
        <v>0</v>
      </c>
      <c r="L59" s="132">
        <v>0</v>
      </c>
      <c r="M59" s="65"/>
      <c r="N59" s="65">
        <f t="shared" ref="N59:N95" si="29">L59+M59</f>
        <v>0</v>
      </c>
      <c r="O59" s="132">
        <v>2117000</v>
      </c>
      <c r="P59" s="66"/>
      <c r="Q59" s="66">
        <f t="shared" ref="Q59:Q95" si="30">O59+P59</f>
        <v>2117000</v>
      </c>
      <c r="R59" s="132">
        <v>0</v>
      </c>
      <c r="S59" s="65"/>
      <c r="T59" s="65">
        <f t="shared" ref="T59:T95" si="31">R59+S59</f>
        <v>0</v>
      </c>
      <c r="U59" s="66"/>
      <c r="V59" s="66"/>
      <c r="W59" s="66">
        <f t="shared" ref="W59:W95" si="32">U59+V59</f>
        <v>0</v>
      </c>
      <c r="X59" s="65"/>
      <c r="Y59" s="65"/>
      <c r="Z59" s="65">
        <f t="shared" ref="Z59:Z95" si="33">X59+Y59</f>
        <v>0</v>
      </c>
      <c r="AA59" s="66"/>
      <c r="AB59" s="66"/>
      <c r="AC59" s="66">
        <f t="shared" ref="AC59:AC95" si="34">AA59+AB59</f>
        <v>0</v>
      </c>
      <c r="AD59" s="65"/>
      <c r="AE59" s="65"/>
      <c r="AF59" s="65">
        <f t="shared" ref="AF59:AF95" si="35">AD59+AE59</f>
        <v>0</v>
      </c>
      <c r="AG59" s="66"/>
      <c r="AH59" s="66"/>
      <c r="AI59" s="66">
        <f t="shared" ref="AI59:AI95" si="36">AG59+AH59</f>
        <v>0</v>
      </c>
      <c r="AJ59" s="65"/>
      <c r="AK59" s="65"/>
      <c r="AL59" s="65">
        <f t="shared" ref="AL59:AL95" si="37">AJ59+AK59</f>
        <v>0</v>
      </c>
      <c r="AM59" s="66"/>
      <c r="AN59" s="66"/>
      <c r="AO59" s="66">
        <f t="shared" ref="AO59:AO60" si="38">AM59+AN59</f>
        <v>0</v>
      </c>
    </row>
    <row r="60" spans="1:41" s="58" customFormat="1" ht="17.25" x14ac:dyDescent="0.3">
      <c r="A60" s="68" t="s">
        <v>67</v>
      </c>
      <c r="B60" s="16"/>
      <c r="C60" s="14">
        <f>H60+K60+N60+Q60+T60+W60+Z60+AC60+AF60+AI60+AL60+AO60</f>
        <v>0</v>
      </c>
      <c r="D60" s="24"/>
      <c r="E60" s="3"/>
      <c r="F60" s="134"/>
      <c r="G60" s="65"/>
      <c r="H60" s="65">
        <f t="shared" si="27"/>
        <v>0</v>
      </c>
      <c r="I60" s="132">
        <v>0</v>
      </c>
      <c r="J60" s="66"/>
      <c r="K60" s="66">
        <f t="shared" si="28"/>
        <v>0</v>
      </c>
      <c r="L60" s="132">
        <v>0</v>
      </c>
      <c r="M60" s="65"/>
      <c r="N60" s="65">
        <f t="shared" si="29"/>
        <v>0</v>
      </c>
      <c r="O60" s="132">
        <v>0</v>
      </c>
      <c r="P60" s="66"/>
      <c r="Q60" s="66">
        <f t="shared" si="30"/>
        <v>0</v>
      </c>
      <c r="R60" s="132">
        <v>0</v>
      </c>
      <c r="S60" s="65"/>
      <c r="T60" s="65">
        <f t="shared" si="31"/>
        <v>0</v>
      </c>
      <c r="U60" s="66"/>
      <c r="V60" s="66"/>
      <c r="W60" s="66">
        <f t="shared" si="32"/>
        <v>0</v>
      </c>
      <c r="X60" s="65"/>
      <c r="Y60" s="65"/>
      <c r="Z60" s="65">
        <f t="shared" si="33"/>
        <v>0</v>
      </c>
      <c r="AA60" s="66"/>
      <c r="AB60" s="66"/>
      <c r="AC60" s="66">
        <f t="shared" si="34"/>
        <v>0</v>
      </c>
      <c r="AD60" s="65"/>
      <c r="AE60" s="65"/>
      <c r="AF60" s="65">
        <f t="shared" si="35"/>
        <v>0</v>
      </c>
      <c r="AG60" s="66"/>
      <c r="AH60" s="66"/>
      <c r="AI60" s="66">
        <f t="shared" si="36"/>
        <v>0</v>
      </c>
      <c r="AJ60" s="65"/>
      <c r="AK60" s="65"/>
      <c r="AL60" s="65">
        <f t="shared" si="37"/>
        <v>0</v>
      </c>
      <c r="AM60" s="66"/>
      <c r="AN60" s="66"/>
      <c r="AO60" s="66">
        <f t="shared" si="38"/>
        <v>0</v>
      </c>
    </row>
    <row r="61" spans="1:41" s="58" customFormat="1" ht="17.25" x14ac:dyDescent="0.3">
      <c r="A61" s="4" t="s">
        <v>19</v>
      </c>
      <c r="B61" s="16"/>
      <c r="C61" s="17">
        <f>SUM(C59:C60)</f>
        <v>3555200</v>
      </c>
      <c r="D61" s="28"/>
      <c r="E61" s="3"/>
      <c r="F61" s="17">
        <f>SUM(F59:F60)</f>
        <v>1438200</v>
      </c>
      <c r="G61" s="17">
        <f t="shared" ref="G61:AO61" si="39">SUM(G59:G60)</f>
        <v>0</v>
      </c>
      <c r="H61" s="17">
        <f t="shared" si="39"/>
        <v>1438200</v>
      </c>
      <c r="I61" s="17">
        <f t="shared" si="39"/>
        <v>0</v>
      </c>
      <c r="J61" s="17">
        <f t="shared" si="39"/>
        <v>0</v>
      </c>
      <c r="K61" s="17">
        <f t="shared" si="39"/>
        <v>0</v>
      </c>
      <c r="L61" s="17">
        <f t="shared" si="39"/>
        <v>0</v>
      </c>
      <c r="M61" s="17">
        <f t="shared" si="39"/>
        <v>0</v>
      </c>
      <c r="N61" s="17">
        <f t="shared" si="39"/>
        <v>0</v>
      </c>
      <c r="O61" s="17">
        <f t="shared" si="39"/>
        <v>2117000</v>
      </c>
      <c r="P61" s="17">
        <f t="shared" si="39"/>
        <v>0</v>
      </c>
      <c r="Q61" s="17">
        <f t="shared" si="39"/>
        <v>2117000</v>
      </c>
      <c r="R61" s="17">
        <f t="shared" si="39"/>
        <v>0</v>
      </c>
      <c r="S61" s="17">
        <f t="shared" si="39"/>
        <v>0</v>
      </c>
      <c r="T61" s="17">
        <f t="shared" si="39"/>
        <v>0</v>
      </c>
      <c r="U61" s="17">
        <f t="shared" si="39"/>
        <v>0</v>
      </c>
      <c r="V61" s="17">
        <f t="shared" si="39"/>
        <v>0</v>
      </c>
      <c r="W61" s="17">
        <f t="shared" si="39"/>
        <v>0</v>
      </c>
      <c r="X61" s="17">
        <f t="shared" si="39"/>
        <v>0</v>
      </c>
      <c r="Y61" s="17">
        <f t="shared" si="39"/>
        <v>0</v>
      </c>
      <c r="Z61" s="17">
        <f t="shared" si="39"/>
        <v>0</v>
      </c>
      <c r="AA61" s="17">
        <f t="shared" si="39"/>
        <v>0</v>
      </c>
      <c r="AB61" s="17">
        <f t="shared" si="39"/>
        <v>0</v>
      </c>
      <c r="AC61" s="17">
        <f t="shared" si="39"/>
        <v>0</v>
      </c>
      <c r="AD61" s="17">
        <f t="shared" si="39"/>
        <v>0</v>
      </c>
      <c r="AE61" s="17">
        <f t="shared" si="39"/>
        <v>0</v>
      </c>
      <c r="AF61" s="17">
        <f t="shared" si="39"/>
        <v>0</v>
      </c>
      <c r="AG61" s="17">
        <f t="shared" si="39"/>
        <v>0</v>
      </c>
      <c r="AH61" s="17">
        <f t="shared" si="39"/>
        <v>0</v>
      </c>
      <c r="AI61" s="17">
        <f t="shared" si="39"/>
        <v>0</v>
      </c>
      <c r="AJ61" s="17">
        <f t="shared" si="39"/>
        <v>0</v>
      </c>
      <c r="AK61" s="17">
        <f t="shared" si="39"/>
        <v>0</v>
      </c>
      <c r="AL61" s="17">
        <f t="shared" si="39"/>
        <v>0</v>
      </c>
      <c r="AM61" s="17">
        <f t="shared" si="39"/>
        <v>0</v>
      </c>
      <c r="AN61" s="17">
        <f t="shared" si="39"/>
        <v>0</v>
      </c>
      <c r="AO61" s="17">
        <f t="shared" si="39"/>
        <v>0</v>
      </c>
    </row>
    <row r="62" spans="1:41" s="58" customFormat="1" ht="17.25" x14ac:dyDescent="0.3">
      <c r="A62" s="4"/>
      <c r="B62" s="16"/>
      <c r="C62" s="19"/>
      <c r="D62" s="28"/>
      <c r="E62" s="3"/>
      <c r="F62" s="65"/>
      <c r="G62" s="65"/>
      <c r="H62" s="65"/>
      <c r="I62" s="66"/>
      <c r="J62" s="66"/>
      <c r="K62" s="66"/>
      <c r="L62" s="65"/>
      <c r="M62" s="65"/>
      <c r="N62" s="65"/>
      <c r="O62" s="66"/>
      <c r="P62" s="66"/>
      <c r="Q62" s="66"/>
      <c r="R62" s="65"/>
      <c r="S62" s="65"/>
      <c r="T62" s="65"/>
      <c r="U62" s="66"/>
      <c r="V62" s="66"/>
      <c r="W62" s="66"/>
      <c r="X62" s="65"/>
      <c r="Y62" s="65"/>
      <c r="Z62" s="65"/>
      <c r="AA62" s="66"/>
      <c r="AB62" s="66"/>
      <c r="AC62" s="66"/>
      <c r="AD62" s="65"/>
      <c r="AE62" s="65"/>
      <c r="AF62" s="65"/>
      <c r="AG62" s="66"/>
      <c r="AH62" s="66"/>
      <c r="AI62" s="66"/>
      <c r="AJ62" s="65"/>
      <c r="AK62" s="65"/>
      <c r="AL62" s="65"/>
      <c r="AM62" s="66"/>
      <c r="AN62" s="66"/>
      <c r="AO62" s="66"/>
    </row>
    <row r="63" spans="1:41" s="58" customFormat="1" ht="17.25" x14ac:dyDescent="0.3">
      <c r="A63" s="70" t="s">
        <v>71</v>
      </c>
      <c r="B63" s="16"/>
      <c r="C63" s="19"/>
      <c r="D63" s="28"/>
      <c r="E63" s="3"/>
      <c r="F63" s="65"/>
      <c r="G63" s="65"/>
      <c r="H63" s="65"/>
      <c r="I63" s="66"/>
      <c r="J63" s="66"/>
      <c r="K63" s="66"/>
      <c r="L63" s="65"/>
      <c r="M63" s="65"/>
      <c r="N63" s="65"/>
      <c r="O63" s="66"/>
      <c r="P63" s="66"/>
      <c r="Q63" s="66"/>
      <c r="R63" s="65"/>
      <c r="S63" s="65"/>
      <c r="T63" s="65"/>
      <c r="U63" s="66"/>
      <c r="V63" s="66"/>
      <c r="W63" s="66"/>
      <c r="X63" s="65"/>
      <c r="Y63" s="65"/>
      <c r="Z63" s="65"/>
      <c r="AA63" s="66"/>
      <c r="AB63" s="66"/>
      <c r="AC63" s="66"/>
      <c r="AD63" s="65"/>
      <c r="AE63" s="65"/>
      <c r="AF63" s="65"/>
      <c r="AG63" s="66"/>
      <c r="AH63" s="66"/>
      <c r="AI63" s="66"/>
      <c r="AJ63" s="65"/>
      <c r="AK63" s="65"/>
      <c r="AL63" s="65"/>
      <c r="AM63" s="66"/>
      <c r="AN63" s="66"/>
      <c r="AO63" s="66"/>
    </row>
    <row r="64" spans="1:41" s="58" customFormat="1" ht="17.25" x14ac:dyDescent="0.3">
      <c r="A64" s="68" t="s">
        <v>72</v>
      </c>
      <c r="B64" s="16"/>
      <c r="C64" s="14">
        <f>H64+K64+N64+Q64+T64+W64+Z64+AC64+AF64+AI64+AL64+AO64</f>
        <v>0</v>
      </c>
      <c r="D64" s="28"/>
      <c r="E64" s="3"/>
      <c r="F64" s="65">
        <v>0</v>
      </c>
      <c r="G64" s="65"/>
      <c r="H64" s="65">
        <f t="shared" si="27"/>
        <v>0</v>
      </c>
      <c r="I64" s="66">
        <v>0</v>
      </c>
      <c r="J64" s="66"/>
      <c r="K64" s="66"/>
      <c r="L64" s="65">
        <v>0</v>
      </c>
      <c r="M64" s="65"/>
      <c r="N64" s="65"/>
      <c r="O64" s="66">
        <v>0</v>
      </c>
      <c r="P64" s="66"/>
      <c r="Q64" s="66"/>
      <c r="R64" s="65">
        <v>0</v>
      </c>
      <c r="S64" s="65"/>
      <c r="T64" s="65"/>
      <c r="U64" s="66"/>
      <c r="V64" s="66"/>
      <c r="W64" s="66"/>
      <c r="X64" s="65"/>
      <c r="Y64" s="65"/>
      <c r="Z64" s="65"/>
      <c r="AA64" s="66"/>
      <c r="AB64" s="66"/>
      <c r="AC64" s="66"/>
      <c r="AD64" s="65"/>
      <c r="AE64" s="65"/>
      <c r="AF64" s="65"/>
      <c r="AG64" s="66"/>
      <c r="AH64" s="66"/>
      <c r="AI64" s="66"/>
      <c r="AJ64" s="65"/>
      <c r="AK64" s="65"/>
      <c r="AL64" s="65"/>
      <c r="AM64" s="66"/>
      <c r="AN64" s="66"/>
      <c r="AO64" s="66"/>
    </row>
    <row r="65" spans="1:41" s="58" customFormat="1" ht="17.25" x14ac:dyDescent="0.3">
      <c r="A65" s="71" t="s">
        <v>73</v>
      </c>
      <c r="B65" s="16"/>
      <c r="C65" s="17">
        <f>SUM(C63:C64)</f>
        <v>0</v>
      </c>
      <c r="D65" s="28"/>
      <c r="E65" s="3"/>
      <c r="F65" s="17">
        <f>SUM(F63:F64)</f>
        <v>0</v>
      </c>
      <c r="G65" s="17">
        <f t="shared" ref="G65:AO65" si="40">SUM(G63:G64)</f>
        <v>0</v>
      </c>
      <c r="H65" s="17">
        <f t="shared" si="40"/>
        <v>0</v>
      </c>
      <c r="I65" s="17">
        <f t="shared" si="40"/>
        <v>0</v>
      </c>
      <c r="J65" s="17">
        <f t="shared" si="40"/>
        <v>0</v>
      </c>
      <c r="K65" s="17">
        <f t="shared" si="40"/>
        <v>0</v>
      </c>
      <c r="L65" s="17">
        <f t="shared" si="40"/>
        <v>0</v>
      </c>
      <c r="M65" s="17">
        <f t="shared" si="40"/>
        <v>0</v>
      </c>
      <c r="N65" s="17">
        <f t="shared" si="40"/>
        <v>0</v>
      </c>
      <c r="O65" s="17">
        <f t="shared" si="40"/>
        <v>0</v>
      </c>
      <c r="P65" s="17">
        <f t="shared" si="40"/>
        <v>0</v>
      </c>
      <c r="Q65" s="17">
        <f t="shared" si="40"/>
        <v>0</v>
      </c>
      <c r="R65" s="17">
        <f t="shared" si="40"/>
        <v>0</v>
      </c>
      <c r="S65" s="17">
        <f t="shared" si="40"/>
        <v>0</v>
      </c>
      <c r="T65" s="17">
        <f t="shared" si="40"/>
        <v>0</v>
      </c>
      <c r="U65" s="17">
        <f t="shared" si="40"/>
        <v>0</v>
      </c>
      <c r="V65" s="17">
        <f t="shared" si="40"/>
        <v>0</v>
      </c>
      <c r="W65" s="17">
        <f t="shared" si="40"/>
        <v>0</v>
      </c>
      <c r="X65" s="17">
        <f t="shared" si="40"/>
        <v>0</v>
      </c>
      <c r="Y65" s="17">
        <f t="shared" si="40"/>
        <v>0</v>
      </c>
      <c r="Z65" s="17">
        <f t="shared" si="40"/>
        <v>0</v>
      </c>
      <c r="AA65" s="17">
        <f t="shared" si="40"/>
        <v>0</v>
      </c>
      <c r="AB65" s="17">
        <f t="shared" si="40"/>
        <v>0</v>
      </c>
      <c r="AC65" s="17">
        <f t="shared" si="40"/>
        <v>0</v>
      </c>
      <c r="AD65" s="17">
        <f t="shared" si="40"/>
        <v>0</v>
      </c>
      <c r="AE65" s="17">
        <f t="shared" si="40"/>
        <v>0</v>
      </c>
      <c r="AF65" s="17">
        <f t="shared" si="40"/>
        <v>0</v>
      </c>
      <c r="AG65" s="17">
        <f t="shared" si="40"/>
        <v>0</v>
      </c>
      <c r="AH65" s="17">
        <f t="shared" si="40"/>
        <v>0</v>
      </c>
      <c r="AI65" s="17">
        <f t="shared" si="40"/>
        <v>0</v>
      </c>
      <c r="AJ65" s="17">
        <f t="shared" si="40"/>
        <v>0</v>
      </c>
      <c r="AK65" s="17">
        <f t="shared" si="40"/>
        <v>0</v>
      </c>
      <c r="AL65" s="17">
        <f t="shared" si="40"/>
        <v>0</v>
      </c>
      <c r="AM65" s="17">
        <f t="shared" si="40"/>
        <v>0</v>
      </c>
      <c r="AN65" s="17">
        <f t="shared" si="40"/>
        <v>0</v>
      </c>
      <c r="AO65" s="17">
        <f t="shared" si="40"/>
        <v>0</v>
      </c>
    </row>
    <row r="66" spans="1:41" s="58" customFormat="1" ht="18.95" customHeight="1" x14ac:dyDescent="0.3">
      <c r="A66" s="70" t="s">
        <v>68</v>
      </c>
      <c r="B66" s="16"/>
      <c r="C66" s="17">
        <f>C61+C65</f>
        <v>3555200</v>
      </c>
      <c r="D66" s="28"/>
      <c r="E66" s="3"/>
      <c r="F66" s="17">
        <f>F61+F65</f>
        <v>1438200</v>
      </c>
      <c r="G66" s="17">
        <f t="shared" ref="G66:AO66" si="41">G61+G65</f>
        <v>0</v>
      </c>
      <c r="H66" s="17">
        <f t="shared" si="41"/>
        <v>1438200</v>
      </c>
      <c r="I66" s="17">
        <f t="shared" si="41"/>
        <v>0</v>
      </c>
      <c r="J66" s="17">
        <f t="shared" si="41"/>
        <v>0</v>
      </c>
      <c r="K66" s="17">
        <f t="shared" si="41"/>
        <v>0</v>
      </c>
      <c r="L66" s="17">
        <f t="shared" si="41"/>
        <v>0</v>
      </c>
      <c r="M66" s="17">
        <f t="shared" si="41"/>
        <v>0</v>
      </c>
      <c r="N66" s="17">
        <f t="shared" si="41"/>
        <v>0</v>
      </c>
      <c r="O66" s="17">
        <f t="shared" si="41"/>
        <v>2117000</v>
      </c>
      <c r="P66" s="17">
        <f t="shared" si="41"/>
        <v>0</v>
      </c>
      <c r="Q66" s="17">
        <f t="shared" si="41"/>
        <v>2117000</v>
      </c>
      <c r="R66" s="17">
        <f t="shared" si="41"/>
        <v>0</v>
      </c>
      <c r="S66" s="17">
        <f t="shared" si="41"/>
        <v>0</v>
      </c>
      <c r="T66" s="17">
        <f t="shared" si="41"/>
        <v>0</v>
      </c>
      <c r="U66" s="17">
        <f t="shared" si="41"/>
        <v>0</v>
      </c>
      <c r="V66" s="17">
        <f t="shared" si="41"/>
        <v>0</v>
      </c>
      <c r="W66" s="17">
        <f t="shared" si="41"/>
        <v>0</v>
      </c>
      <c r="X66" s="17">
        <f t="shared" si="41"/>
        <v>0</v>
      </c>
      <c r="Y66" s="17">
        <f t="shared" si="41"/>
        <v>0</v>
      </c>
      <c r="Z66" s="17">
        <f t="shared" si="41"/>
        <v>0</v>
      </c>
      <c r="AA66" s="17">
        <f t="shared" si="41"/>
        <v>0</v>
      </c>
      <c r="AB66" s="17">
        <f t="shared" si="41"/>
        <v>0</v>
      </c>
      <c r="AC66" s="17">
        <f t="shared" si="41"/>
        <v>0</v>
      </c>
      <c r="AD66" s="17">
        <f t="shared" si="41"/>
        <v>0</v>
      </c>
      <c r="AE66" s="17">
        <f t="shared" si="41"/>
        <v>0</v>
      </c>
      <c r="AF66" s="17">
        <f t="shared" si="41"/>
        <v>0</v>
      </c>
      <c r="AG66" s="17">
        <f t="shared" si="41"/>
        <v>0</v>
      </c>
      <c r="AH66" s="17">
        <f t="shared" si="41"/>
        <v>0</v>
      </c>
      <c r="AI66" s="17">
        <f t="shared" si="41"/>
        <v>0</v>
      </c>
      <c r="AJ66" s="17">
        <f t="shared" si="41"/>
        <v>0</v>
      </c>
      <c r="AK66" s="17">
        <f t="shared" si="41"/>
        <v>0</v>
      </c>
      <c r="AL66" s="17">
        <f t="shared" si="41"/>
        <v>0</v>
      </c>
      <c r="AM66" s="17">
        <f t="shared" si="41"/>
        <v>0</v>
      </c>
      <c r="AN66" s="17">
        <f t="shared" si="41"/>
        <v>0</v>
      </c>
      <c r="AO66" s="17">
        <f t="shared" si="41"/>
        <v>0</v>
      </c>
    </row>
    <row r="67" spans="1:41" s="58" customFormat="1" ht="18.95" customHeight="1" x14ac:dyDescent="0.3">
      <c r="A67" s="15"/>
      <c r="B67" s="16"/>
      <c r="C67" s="28"/>
      <c r="D67" s="28"/>
      <c r="E67" s="3"/>
      <c r="F67" s="65"/>
      <c r="G67" s="65"/>
      <c r="H67" s="65"/>
      <c r="I67" s="66"/>
      <c r="J67" s="66"/>
      <c r="K67" s="66"/>
      <c r="L67" s="65"/>
      <c r="M67" s="65"/>
      <c r="N67" s="65"/>
      <c r="O67" s="66"/>
      <c r="P67" s="66"/>
      <c r="Q67" s="66"/>
      <c r="R67" s="65"/>
      <c r="S67" s="65"/>
      <c r="T67" s="65"/>
      <c r="U67" s="66"/>
      <c r="V67" s="66"/>
      <c r="W67" s="66"/>
      <c r="X67" s="65"/>
      <c r="Y67" s="65"/>
      <c r="Z67" s="65"/>
      <c r="AA67" s="66"/>
      <c r="AB67" s="66"/>
      <c r="AC67" s="66"/>
      <c r="AD67" s="65"/>
      <c r="AE67" s="65"/>
      <c r="AF67" s="65"/>
      <c r="AG67" s="66"/>
      <c r="AH67" s="66"/>
      <c r="AI67" s="66"/>
      <c r="AJ67" s="65"/>
      <c r="AK67" s="65"/>
      <c r="AL67" s="65"/>
      <c r="AM67" s="66"/>
      <c r="AN67" s="66"/>
      <c r="AO67" s="66"/>
    </row>
    <row r="68" spans="1:41" s="58" customFormat="1" ht="17.25" x14ac:dyDescent="0.3">
      <c r="A68" s="70" t="s">
        <v>74</v>
      </c>
      <c r="B68" s="16"/>
      <c r="C68" s="43"/>
      <c r="D68" s="44"/>
      <c r="E68" s="3"/>
      <c r="F68" s="65"/>
      <c r="G68" s="65"/>
      <c r="H68" s="65"/>
      <c r="I68" s="66"/>
      <c r="J68" s="66"/>
      <c r="K68" s="66"/>
      <c r="L68" s="65"/>
      <c r="M68" s="65"/>
      <c r="N68" s="65"/>
      <c r="O68" s="66"/>
      <c r="P68" s="66"/>
      <c r="Q68" s="66"/>
      <c r="R68" s="65"/>
      <c r="S68" s="65"/>
      <c r="T68" s="65"/>
      <c r="U68" s="66"/>
      <c r="V68" s="66"/>
      <c r="W68" s="66"/>
      <c r="X68" s="65"/>
      <c r="Y68" s="65"/>
      <c r="Z68" s="65"/>
      <c r="AA68" s="66"/>
      <c r="AB68" s="66"/>
      <c r="AC68" s="66"/>
      <c r="AD68" s="65"/>
      <c r="AE68" s="65"/>
      <c r="AF68" s="65"/>
      <c r="AG68" s="66"/>
      <c r="AH68" s="66"/>
      <c r="AI68" s="66"/>
      <c r="AJ68" s="65"/>
      <c r="AK68" s="65"/>
      <c r="AL68" s="65"/>
      <c r="AM68" s="66"/>
      <c r="AN68" s="66"/>
      <c r="AO68" s="66"/>
    </row>
    <row r="69" spans="1:41" s="58" customFormat="1" ht="17.25" x14ac:dyDescent="0.3">
      <c r="A69" s="15" t="s">
        <v>21</v>
      </c>
      <c r="B69" s="16"/>
      <c r="C69" s="14">
        <f t="shared" ref="C69" si="42">H69+K69+N69+Q69+T69+W69+Z69+AC69+AF69+AI69+AL69</f>
        <v>0</v>
      </c>
      <c r="D69" s="45"/>
      <c r="E69" s="3"/>
      <c r="F69" s="132">
        <v>0</v>
      </c>
      <c r="G69" s="65"/>
      <c r="H69" s="65">
        <f t="shared" si="27"/>
        <v>0</v>
      </c>
      <c r="I69" s="132">
        <v>0</v>
      </c>
      <c r="J69" s="66"/>
      <c r="K69" s="66">
        <f t="shared" si="28"/>
        <v>0</v>
      </c>
      <c r="L69" s="65">
        <v>0</v>
      </c>
      <c r="M69" s="65"/>
      <c r="N69" s="65">
        <f t="shared" si="29"/>
        <v>0</v>
      </c>
      <c r="O69" s="132">
        <v>0</v>
      </c>
      <c r="P69" s="66"/>
      <c r="Q69" s="66">
        <f t="shared" si="30"/>
        <v>0</v>
      </c>
      <c r="R69" s="132">
        <v>0</v>
      </c>
      <c r="S69" s="65"/>
      <c r="T69" s="65">
        <f t="shared" si="31"/>
        <v>0</v>
      </c>
      <c r="U69" s="132"/>
      <c r="V69" s="66"/>
      <c r="W69" s="66">
        <f t="shared" si="32"/>
        <v>0</v>
      </c>
      <c r="X69" s="132"/>
      <c r="Y69" s="65"/>
      <c r="Z69" s="65">
        <f t="shared" si="33"/>
        <v>0</v>
      </c>
      <c r="AA69" s="132"/>
      <c r="AB69" s="66"/>
      <c r="AC69" s="66">
        <f t="shared" si="34"/>
        <v>0</v>
      </c>
      <c r="AD69" s="65"/>
      <c r="AE69" s="65"/>
      <c r="AF69" s="65">
        <f t="shared" si="35"/>
        <v>0</v>
      </c>
      <c r="AG69" s="66"/>
      <c r="AH69" s="66"/>
      <c r="AI69" s="66">
        <f t="shared" si="36"/>
        <v>0</v>
      </c>
      <c r="AJ69" s="65"/>
      <c r="AK69" s="65"/>
      <c r="AL69" s="65">
        <f t="shared" si="37"/>
        <v>0</v>
      </c>
      <c r="AM69" s="66"/>
      <c r="AN69" s="66"/>
      <c r="AO69" s="66">
        <f t="shared" ref="AO69:AO72" si="43">AM69+AN69</f>
        <v>0</v>
      </c>
    </row>
    <row r="70" spans="1:41" s="58" customFormat="1" ht="17.25" x14ac:dyDescent="0.3">
      <c r="A70" s="15" t="s">
        <v>22</v>
      </c>
      <c r="B70" s="16"/>
      <c r="C70" s="14">
        <f>H70+K70+N70+Q70+T70+W70+Z70+AC70+AF70+AI70+AL70+AO70</f>
        <v>21072</v>
      </c>
      <c r="D70" s="24"/>
      <c r="E70" s="3"/>
      <c r="F70" s="132">
        <v>21072</v>
      </c>
      <c r="G70" s="65"/>
      <c r="H70" s="65">
        <f t="shared" si="27"/>
        <v>21072</v>
      </c>
      <c r="I70" s="132">
        <v>0</v>
      </c>
      <c r="J70" s="66"/>
      <c r="K70" s="66">
        <f t="shared" si="28"/>
        <v>0</v>
      </c>
      <c r="L70" s="65">
        <v>0</v>
      </c>
      <c r="M70" s="65"/>
      <c r="N70" s="65">
        <f t="shared" si="29"/>
        <v>0</v>
      </c>
      <c r="O70" s="132">
        <v>0</v>
      </c>
      <c r="P70" s="66"/>
      <c r="Q70" s="66">
        <f t="shared" si="30"/>
        <v>0</v>
      </c>
      <c r="R70" s="132">
        <v>0</v>
      </c>
      <c r="S70" s="65"/>
      <c r="T70" s="65">
        <f t="shared" si="31"/>
        <v>0</v>
      </c>
      <c r="U70" s="132"/>
      <c r="V70" s="66"/>
      <c r="W70" s="66">
        <f t="shared" si="32"/>
        <v>0</v>
      </c>
      <c r="X70" s="132"/>
      <c r="Y70" s="65"/>
      <c r="Z70" s="65">
        <f t="shared" si="33"/>
        <v>0</v>
      </c>
      <c r="AA70" s="132">
        <v>0</v>
      </c>
      <c r="AB70" s="66"/>
      <c r="AC70" s="66">
        <f t="shared" si="34"/>
        <v>0</v>
      </c>
      <c r="AD70" s="65"/>
      <c r="AE70" s="65"/>
      <c r="AF70" s="65">
        <f t="shared" si="35"/>
        <v>0</v>
      </c>
      <c r="AG70" s="66"/>
      <c r="AH70" s="66"/>
      <c r="AI70" s="66">
        <f t="shared" si="36"/>
        <v>0</v>
      </c>
      <c r="AJ70" s="65"/>
      <c r="AK70" s="65"/>
      <c r="AL70" s="65">
        <f t="shared" si="37"/>
        <v>0</v>
      </c>
      <c r="AM70" s="66"/>
      <c r="AN70" s="66"/>
      <c r="AO70" s="66">
        <f t="shared" si="43"/>
        <v>0</v>
      </c>
    </row>
    <row r="71" spans="1:41" s="58" customFormat="1" ht="17.25" x14ac:dyDescent="0.3">
      <c r="A71" s="15" t="s">
        <v>23</v>
      </c>
      <c r="B71" s="16"/>
      <c r="C71" s="14">
        <f>H71+K71+N71+Q71+T71+W71+Z71+AC71+AF71+AI71+AL71+AO71</f>
        <v>30259</v>
      </c>
      <c r="D71" s="24"/>
      <c r="E71" s="3"/>
      <c r="F71" s="132">
        <v>100000</v>
      </c>
      <c r="G71" s="120">
        <v>-100000</v>
      </c>
      <c r="H71" s="65">
        <f t="shared" si="27"/>
        <v>0</v>
      </c>
      <c r="I71" s="132">
        <f>45130</f>
        <v>45130</v>
      </c>
      <c r="J71" s="120">
        <v>-43130</v>
      </c>
      <c r="K71" s="66">
        <f t="shared" si="28"/>
        <v>2000</v>
      </c>
      <c r="L71" s="65">
        <v>0</v>
      </c>
      <c r="M71" s="65"/>
      <c r="N71" s="65">
        <f t="shared" si="29"/>
        <v>0</v>
      </c>
      <c r="O71" s="132">
        <v>438259</v>
      </c>
      <c r="P71" s="120">
        <v>-410000</v>
      </c>
      <c r="Q71" s="66">
        <f t="shared" si="30"/>
        <v>28259</v>
      </c>
      <c r="R71" s="132">
        <v>0</v>
      </c>
      <c r="S71" s="65"/>
      <c r="T71" s="65">
        <f t="shared" si="31"/>
        <v>0</v>
      </c>
      <c r="U71" s="132"/>
      <c r="V71" s="66"/>
      <c r="W71" s="66">
        <f t="shared" si="32"/>
        <v>0</v>
      </c>
      <c r="X71" s="132"/>
      <c r="Y71" s="65"/>
      <c r="Z71" s="65">
        <f t="shared" si="33"/>
        <v>0</v>
      </c>
      <c r="AA71" s="132"/>
      <c r="AB71" s="66"/>
      <c r="AC71" s="66">
        <f t="shared" si="34"/>
        <v>0</v>
      </c>
      <c r="AD71" s="65"/>
      <c r="AE71" s="65"/>
      <c r="AF71" s="65">
        <f t="shared" si="35"/>
        <v>0</v>
      </c>
      <c r="AG71" s="66"/>
      <c r="AH71" s="66"/>
      <c r="AI71" s="66">
        <f t="shared" si="36"/>
        <v>0</v>
      </c>
      <c r="AJ71" s="65"/>
      <c r="AK71" s="65"/>
      <c r="AL71" s="65">
        <f t="shared" si="37"/>
        <v>0</v>
      </c>
      <c r="AM71" s="66"/>
      <c r="AN71" s="66"/>
      <c r="AO71" s="66">
        <f t="shared" si="43"/>
        <v>0</v>
      </c>
    </row>
    <row r="72" spans="1:41" s="58" customFormat="1" ht="17.25" x14ac:dyDescent="0.3">
      <c r="A72" s="15" t="s">
        <v>24</v>
      </c>
      <c r="B72" s="16"/>
      <c r="C72" s="14">
        <f>H72+K72+N72+Q72+T72+W72+Z72+AC72+AF72+AI72+AL72+AO72</f>
        <v>2326222</v>
      </c>
      <c r="D72" s="24"/>
      <c r="E72" s="3"/>
      <c r="F72" s="132">
        <v>319939</v>
      </c>
      <c r="G72" s="65"/>
      <c r="H72" s="65">
        <f t="shared" si="27"/>
        <v>319939</v>
      </c>
      <c r="I72" s="132">
        <v>363187</v>
      </c>
      <c r="J72" s="66"/>
      <c r="K72" s="66">
        <f t="shared" si="28"/>
        <v>363187</v>
      </c>
      <c r="L72" s="65">
        <v>0</v>
      </c>
      <c r="M72" s="65"/>
      <c r="N72" s="65">
        <f t="shared" si="29"/>
        <v>0</v>
      </c>
      <c r="O72" s="132">
        <v>440264</v>
      </c>
      <c r="P72" s="66"/>
      <c r="Q72" s="66">
        <f t="shared" si="30"/>
        <v>440264</v>
      </c>
      <c r="R72" s="132">
        <v>1065489</v>
      </c>
      <c r="S72" s="65"/>
      <c r="T72" s="65">
        <f t="shared" si="31"/>
        <v>1065489</v>
      </c>
      <c r="U72" s="132">
        <v>41802</v>
      </c>
      <c r="V72" s="66"/>
      <c r="W72" s="66">
        <f t="shared" si="32"/>
        <v>41802</v>
      </c>
      <c r="X72" s="132">
        <v>55298</v>
      </c>
      <c r="Y72" s="65"/>
      <c r="Z72" s="65">
        <f t="shared" si="33"/>
        <v>55298</v>
      </c>
      <c r="AA72" s="132">
        <v>40243</v>
      </c>
      <c r="AB72" s="66"/>
      <c r="AC72" s="66">
        <f t="shared" si="34"/>
        <v>40243</v>
      </c>
      <c r="AD72" s="65"/>
      <c r="AE72" s="65"/>
      <c r="AF72" s="65">
        <f t="shared" si="35"/>
        <v>0</v>
      </c>
      <c r="AG72" s="66"/>
      <c r="AH72" s="66"/>
      <c r="AI72" s="66">
        <f t="shared" si="36"/>
        <v>0</v>
      </c>
      <c r="AJ72" s="65"/>
      <c r="AK72" s="65"/>
      <c r="AL72" s="65">
        <f t="shared" si="37"/>
        <v>0</v>
      </c>
      <c r="AM72" s="66"/>
      <c r="AN72" s="66"/>
      <c r="AO72" s="66">
        <f t="shared" si="43"/>
        <v>0</v>
      </c>
    </row>
    <row r="73" spans="1:41" s="58" customFormat="1" ht="18.95" customHeight="1" x14ac:dyDescent="0.3">
      <c r="A73" s="4" t="s">
        <v>25</v>
      </c>
      <c r="B73" s="16"/>
      <c r="C73" s="17">
        <f>SUM(C69:C72)</f>
        <v>2377553</v>
      </c>
      <c r="D73" s="28"/>
      <c r="E73" s="3"/>
      <c r="F73" s="17">
        <f>SUM(F69:F72)</f>
        <v>441011</v>
      </c>
      <c r="G73" s="17">
        <f t="shared" ref="G73:AO73" si="44">SUM(G69:G72)</f>
        <v>-100000</v>
      </c>
      <c r="H73" s="17">
        <f t="shared" si="44"/>
        <v>341011</v>
      </c>
      <c r="I73" s="17">
        <f t="shared" si="44"/>
        <v>408317</v>
      </c>
      <c r="J73" s="17">
        <f t="shared" si="44"/>
        <v>-43130</v>
      </c>
      <c r="K73" s="17">
        <f t="shared" si="44"/>
        <v>365187</v>
      </c>
      <c r="L73" s="17">
        <f t="shared" si="44"/>
        <v>0</v>
      </c>
      <c r="M73" s="17">
        <f t="shared" si="44"/>
        <v>0</v>
      </c>
      <c r="N73" s="17">
        <f t="shared" si="44"/>
        <v>0</v>
      </c>
      <c r="O73" s="17">
        <f t="shared" si="44"/>
        <v>878523</v>
      </c>
      <c r="P73" s="17">
        <f t="shared" si="44"/>
        <v>-410000</v>
      </c>
      <c r="Q73" s="17">
        <f t="shared" si="44"/>
        <v>468523</v>
      </c>
      <c r="R73" s="17">
        <f t="shared" si="44"/>
        <v>1065489</v>
      </c>
      <c r="S73" s="17">
        <f t="shared" si="44"/>
        <v>0</v>
      </c>
      <c r="T73" s="17">
        <f t="shared" si="44"/>
        <v>1065489</v>
      </c>
      <c r="U73" s="17">
        <f t="shared" si="44"/>
        <v>41802</v>
      </c>
      <c r="V73" s="17">
        <f t="shared" si="44"/>
        <v>0</v>
      </c>
      <c r="W73" s="17">
        <f t="shared" si="44"/>
        <v>41802</v>
      </c>
      <c r="X73" s="17">
        <f t="shared" si="44"/>
        <v>55298</v>
      </c>
      <c r="Y73" s="17">
        <f t="shared" si="44"/>
        <v>0</v>
      </c>
      <c r="Z73" s="17">
        <f t="shared" si="44"/>
        <v>55298</v>
      </c>
      <c r="AA73" s="17">
        <f t="shared" si="44"/>
        <v>40243</v>
      </c>
      <c r="AB73" s="17">
        <f t="shared" si="44"/>
        <v>0</v>
      </c>
      <c r="AC73" s="17">
        <f t="shared" si="44"/>
        <v>40243</v>
      </c>
      <c r="AD73" s="17">
        <f t="shared" si="44"/>
        <v>0</v>
      </c>
      <c r="AE73" s="17">
        <f t="shared" si="44"/>
        <v>0</v>
      </c>
      <c r="AF73" s="17">
        <f t="shared" si="44"/>
        <v>0</v>
      </c>
      <c r="AG73" s="17">
        <f t="shared" si="44"/>
        <v>0</v>
      </c>
      <c r="AH73" s="17">
        <f t="shared" si="44"/>
        <v>0</v>
      </c>
      <c r="AI73" s="17">
        <f t="shared" si="44"/>
        <v>0</v>
      </c>
      <c r="AJ73" s="17">
        <f t="shared" si="44"/>
        <v>0</v>
      </c>
      <c r="AK73" s="17">
        <f t="shared" si="44"/>
        <v>0</v>
      </c>
      <c r="AL73" s="17">
        <f t="shared" si="44"/>
        <v>0</v>
      </c>
      <c r="AM73" s="17">
        <f t="shared" si="44"/>
        <v>0</v>
      </c>
      <c r="AN73" s="17">
        <f t="shared" si="44"/>
        <v>0</v>
      </c>
      <c r="AO73" s="17">
        <f t="shared" si="44"/>
        <v>0</v>
      </c>
    </row>
    <row r="74" spans="1:41" s="58" customFormat="1" ht="18.95" customHeight="1" thickBot="1" x14ac:dyDescent="0.35">
      <c r="A74" s="70" t="s">
        <v>69</v>
      </c>
      <c r="B74" s="16"/>
      <c r="C74" s="17">
        <f>C66+C73</f>
        <v>5932753</v>
      </c>
      <c r="D74" s="28"/>
      <c r="E74" s="3"/>
      <c r="F74" s="17">
        <f t="shared" ref="F74:AO74" si="45">F66+F73</f>
        <v>1879211</v>
      </c>
      <c r="G74" s="17">
        <f t="shared" si="45"/>
        <v>-100000</v>
      </c>
      <c r="H74" s="17">
        <f t="shared" si="45"/>
        <v>1779211</v>
      </c>
      <c r="I74" s="17">
        <f t="shared" si="45"/>
        <v>408317</v>
      </c>
      <c r="J74" s="17">
        <f t="shared" si="45"/>
        <v>-43130</v>
      </c>
      <c r="K74" s="17">
        <f t="shared" si="45"/>
        <v>365187</v>
      </c>
      <c r="L74" s="17">
        <f t="shared" si="45"/>
        <v>0</v>
      </c>
      <c r="M74" s="17">
        <f t="shared" si="45"/>
        <v>0</v>
      </c>
      <c r="N74" s="17">
        <f t="shared" si="45"/>
        <v>0</v>
      </c>
      <c r="O74" s="17">
        <f t="shared" si="45"/>
        <v>2995523</v>
      </c>
      <c r="P74" s="17">
        <f t="shared" si="45"/>
        <v>-410000</v>
      </c>
      <c r="Q74" s="17">
        <f t="shared" si="45"/>
        <v>2585523</v>
      </c>
      <c r="R74" s="17">
        <f t="shared" si="45"/>
        <v>1065489</v>
      </c>
      <c r="S74" s="17">
        <f t="shared" si="45"/>
        <v>0</v>
      </c>
      <c r="T74" s="17">
        <f t="shared" si="45"/>
        <v>1065489</v>
      </c>
      <c r="U74" s="17">
        <f t="shared" si="45"/>
        <v>41802</v>
      </c>
      <c r="V74" s="17">
        <f t="shared" si="45"/>
        <v>0</v>
      </c>
      <c r="W74" s="17">
        <f t="shared" si="45"/>
        <v>41802</v>
      </c>
      <c r="X74" s="17">
        <f t="shared" si="45"/>
        <v>55298</v>
      </c>
      <c r="Y74" s="17">
        <f t="shared" si="45"/>
        <v>0</v>
      </c>
      <c r="Z74" s="17">
        <f t="shared" si="45"/>
        <v>55298</v>
      </c>
      <c r="AA74" s="17">
        <f t="shared" si="45"/>
        <v>40243</v>
      </c>
      <c r="AB74" s="17">
        <f t="shared" si="45"/>
        <v>0</v>
      </c>
      <c r="AC74" s="17">
        <f t="shared" si="45"/>
        <v>40243</v>
      </c>
      <c r="AD74" s="17">
        <f t="shared" si="45"/>
        <v>0</v>
      </c>
      <c r="AE74" s="17">
        <f t="shared" si="45"/>
        <v>0</v>
      </c>
      <c r="AF74" s="17">
        <f t="shared" si="45"/>
        <v>0</v>
      </c>
      <c r="AG74" s="17">
        <f t="shared" si="45"/>
        <v>0</v>
      </c>
      <c r="AH74" s="17">
        <f t="shared" si="45"/>
        <v>0</v>
      </c>
      <c r="AI74" s="17">
        <f t="shared" si="45"/>
        <v>0</v>
      </c>
      <c r="AJ74" s="17">
        <f t="shared" si="45"/>
        <v>0</v>
      </c>
      <c r="AK74" s="17">
        <f t="shared" si="45"/>
        <v>0</v>
      </c>
      <c r="AL74" s="17">
        <f t="shared" si="45"/>
        <v>0</v>
      </c>
      <c r="AM74" s="17">
        <f t="shared" si="45"/>
        <v>0</v>
      </c>
      <c r="AN74" s="17">
        <f t="shared" si="45"/>
        <v>0</v>
      </c>
      <c r="AO74" s="17">
        <f t="shared" si="45"/>
        <v>0</v>
      </c>
    </row>
    <row r="75" spans="1:41" s="58" customFormat="1" ht="18" thickTop="1" x14ac:dyDescent="0.3">
      <c r="A75" s="15" t="s">
        <v>1</v>
      </c>
      <c r="B75" s="16"/>
      <c r="C75" s="46"/>
      <c r="D75" s="24"/>
      <c r="E75" s="3"/>
      <c r="F75" s="65"/>
      <c r="G75" s="65"/>
      <c r="H75" s="65"/>
      <c r="I75" s="66"/>
      <c r="J75" s="66"/>
      <c r="K75" s="66"/>
      <c r="L75" s="65"/>
      <c r="M75" s="65"/>
      <c r="N75" s="65"/>
      <c r="O75" s="66"/>
      <c r="P75" s="66"/>
      <c r="Q75" s="66"/>
      <c r="R75" s="65"/>
      <c r="S75" s="65"/>
      <c r="T75" s="65"/>
      <c r="U75" s="66"/>
      <c r="V75" s="66"/>
      <c r="W75" s="66"/>
      <c r="X75" s="65"/>
      <c r="Y75" s="65"/>
      <c r="Z75" s="65"/>
      <c r="AA75" s="66"/>
      <c r="AB75" s="66"/>
      <c r="AC75" s="66"/>
      <c r="AD75" s="65"/>
      <c r="AE75" s="65"/>
      <c r="AF75" s="65"/>
      <c r="AG75" s="66"/>
      <c r="AH75" s="66"/>
      <c r="AI75" s="66"/>
      <c r="AJ75" s="65"/>
      <c r="AK75" s="65"/>
      <c r="AL75" s="65"/>
      <c r="AM75" s="66"/>
      <c r="AN75" s="66"/>
      <c r="AO75" s="66"/>
    </row>
    <row r="76" spans="1:41" s="58" customFormat="1" ht="17.25" x14ac:dyDescent="0.3">
      <c r="A76" s="4" t="s">
        <v>26</v>
      </c>
      <c r="B76" s="16"/>
      <c r="C76" s="19"/>
      <c r="D76" s="24"/>
      <c r="E76" s="3"/>
      <c r="F76" s="65"/>
      <c r="G76" s="65"/>
      <c r="H76" s="65"/>
      <c r="I76" s="66"/>
      <c r="J76" s="66"/>
      <c r="K76" s="66"/>
      <c r="L76" s="65"/>
      <c r="M76" s="65"/>
      <c r="N76" s="65"/>
      <c r="O76" s="66"/>
      <c r="P76" s="66"/>
      <c r="Q76" s="66"/>
      <c r="R76" s="65"/>
      <c r="S76" s="65"/>
      <c r="T76" s="65"/>
      <c r="U76" s="66"/>
      <c r="V76" s="66"/>
      <c r="W76" s="66"/>
      <c r="X76" s="65"/>
      <c r="Y76" s="65"/>
      <c r="Z76" s="65"/>
      <c r="AA76" s="66"/>
      <c r="AB76" s="66"/>
      <c r="AC76" s="66"/>
      <c r="AD76" s="65"/>
      <c r="AE76" s="65"/>
      <c r="AF76" s="65"/>
      <c r="AG76" s="66"/>
      <c r="AH76" s="66"/>
      <c r="AI76" s="66"/>
      <c r="AJ76" s="65"/>
      <c r="AK76" s="65"/>
      <c r="AL76" s="65"/>
      <c r="AM76" s="66"/>
      <c r="AN76" s="66"/>
      <c r="AO76" s="66"/>
    </row>
    <row r="77" spans="1:41" s="58" customFormat="1" ht="6.95" customHeight="1" x14ac:dyDescent="0.3">
      <c r="A77" s="4"/>
      <c r="B77" s="16"/>
      <c r="C77" s="19"/>
      <c r="D77" s="24"/>
      <c r="E77" s="3"/>
      <c r="F77" s="65"/>
      <c r="G77" s="65"/>
      <c r="H77" s="65"/>
      <c r="I77" s="66"/>
      <c r="J77" s="66"/>
      <c r="K77" s="66"/>
      <c r="L77" s="65"/>
      <c r="M77" s="65"/>
      <c r="N77" s="65"/>
      <c r="O77" s="66"/>
      <c r="P77" s="66"/>
      <c r="Q77" s="66"/>
      <c r="R77" s="65"/>
      <c r="S77" s="65"/>
      <c r="T77" s="65"/>
      <c r="U77" s="66"/>
      <c r="V77" s="66"/>
      <c r="W77" s="66"/>
      <c r="X77" s="65"/>
      <c r="Y77" s="65"/>
      <c r="Z77" s="65"/>
      <c r="AA77" s="66"/>
      <c r="AB77" s="66"/>
      <c r="AC77" s="66"/>
      <c r="AD77" s="65"/>
      <c r="AE77" s="65"/>
      <c r="AF77" s="65"/>
      <c r="AG77" s="66"/>
      <c r="AH77" s="66"/>
      <c r="AI77" s="66"/>
      <c r="AJ77" s="65"/>
      <c r="AK77" s="65"/>
      <c r="AL77" s="65"/>
      <c r="AM77" s="66"/>
      <c r="AN77" s="66"/>
      <c r="AO77" s="66"/>
    </row>
    <row r="78" spans="1:41" s="58" customFormat="1" ht="17.25" x14ac:dyDescent="0.3">
      <c r="A78" s="4" t="s">
        <v>27</v>
      </c>
      <c r="B78" s="25"/>
      <c r="C78" s="47"/>
      <c r="D78" s="48"/>
      <c r="E78" s="3"/>
      <c r="F78" s="65"/>
      <c r="G78" s="65"/>
      <c r="H78" s="65"/>
      <c r="I78" s="66"/>
      <c r="J78" s="66"/>
      <c r="K78" s="66"/>
      <c r="L78" s="65"/>
      <c r="M78" s="65"/>
      <c r="N78" s="65"/>
      <c r="O78" s="66"/>
      <c r="P78" s="66"/>
      <c r="Q78" s="66"/>
      <c r="R78" s="65"/>
      <c r="S78" s="65"/>
      <c r="T78" s="65"/>
      <c r="U78" s="66"/>
      <c r="V78" s="66"/>
      <c r="W78" s="66"/>
      <c r="X78" s="65"/>
      <c r="Y78" s="65"/>
      <c r="Z78" s="65"/>
      <c r="AA78" s="66"/>
      <c r="AB78" s="66"/>
      <c r="AC78" s="66"/>
      <c r="AD78" s="65"/>
      <c r="AE78" s="65"/>
      <c r="AF78" s="65"/>
      <c r="AG78" s="66"/>
      <c r="AH78" s="66"/>
      <c r="AI78" s="66"/>
      <c r="AJ78" s="65"/>
      <c r="AK78" s="65"/>
      <c r="AL78" s="65"/>
      <c r="AM78" s="66"/>
      <c r="AN78" s="66"/>
      <c r="AO78" s="66"/>
    </row>
    <row r="79" spans="1:41" s="58" customFormat="1" ht="17.25" hidden="1" x14ac:dyDescent="0.3">
      <c r="A79" s="4" t="s">
        <v>28</v>
      </c>
      <c r="B79" s="16"/>
      <c r="C79" s="19"/>
      <c r="D79" s="24"/>
      <c r="E79" s="3"/>
      <c r="F79" s="65"/>
      <c r="G79" s="65"/>
      <c r="H79" s="65"/>
      <c r="I79" s="66"/>
      <c r="J79" s="66"/>
      <c r="K79" s="66"/>
      <c r="L79" s="65"/>
      <c r="M79" s="65"/>
      <c r="N79" s="65"/>
      <c r="O79" s="66"/>
      <c r="P79" s="66"/>
      <c r="Q79" s="66"/>
      <c r="R79" s="65"/>
      <c r="S79" s="65"/>
      <c r="T79" s="65"/>
      <c r="U79" s="66"/>
      <c r="V79" s="66"/>
      <c r="W79" s="66"/>
      <c r="X79" s="65"/>
      <c r="Y79" s="65"/>
      <c r="Z79" s="65"/>
      <c r="AA79" s="66"/>
      <c r="AB79" s="66"/>
      <c r="AC79" s="66"/>
      <c r="AD79" s="65"/>
      <c r="AE79" s="65"/>
      <c r="AF79" s="65"/>
      <c r="AG79" s="66"/>
      <c r="AH79" s="66"/>
      <c r="AI79" s="66"/>
      <c r="AJ79" s="65"/>
      <c r="AK79" s="65"/>
      <c r="AL79" s="65"/>
      <c r="AM79" s="66"/>
      <c r="AN79" s="66"/>
      <c r="AO79" s="66"/>
    </row>
    <row r="80" spans="1:41" s="58" customFormat="1" ht="17.25" hidden="1" x14ac:dyDescent="0.3">
      <c r="A80" s="15" t="s">
        <v>29</v>
      </c>
      <c r="B80" s="16"/>
      <c r="C80" s="19">
        <v>0</v>
      </c>
      <c r="D80" s="24"/>
      <c r="E80" s="3"/>
      <c r="F80" s="65"/>
      <c r="G80" s="65"/>
      <c r="H80" s="65"/>
      <c r="I80" s="66"/>
      <c r="J80" s="66"/>
      <c r="K80" s="66"/>
      <c r="L80" s="65"/>
      <c r="M80" s="65"/>
      <c r="N80" s="65"/>
      <c r="O80" s="66"/>
      <c r="P80" s="66"/>
      <c r="Q80" s="66"/>
      <c r="R80" s="65"/>
      <c r="S80" s="65"/>
      <c r="T80" s="65"/>
      <c r="U80" s="66"/>
      <c r="V80" s="66"/>
      <c r="W80" s="66"/>
      <c r="X80" s="65"/>
      <c r="Y80" s="65"/>
      <c r="Z80" s="65"/>
      <c r="AA80" s="66"/>
      <c r="AB80" s="66"/>
      <c r="AC80" s="66"/>
      <c r="AD80" s="65"/>
      <c r="AE80" s="65"/>
      <c r="AF80" s="65"/>
      <c r="AG80" s="66"/>
      <c r="AH80" s="66"/>
      <c r="AI80" s="66"/>
      <c r="AJ80" s="65"/>
      <c r="AK80" s="65"/>
      <c r="AL80" s="65"/>
      <c r="AM80" s="66"/>
      <c r="AN80" s="66"/>
      <c r="AO80" s="66"/>
    </row>
    <row r="81" spans="1:41" s="58" customFormat="1" ht="17.25" hidden="1" x14ac:dyDescent="0.3">
      <c r="A81" s="4" t="s">
        <v>30</v>
      </c>
      <c r="B81" s="16"/>
      <c r="C81" s="18">
        <f>C80</f>
        <v>0</v>
      </c>
      <c r="D81" s="24"/>
      <c r="E81" s="3"/>
      <c r="F81" s="65"/>
      <c r="G81" s="65"/>
      <c r="H81" s="65"/>
      <c r="I81" s="66"/>
      <c r="J81" s="66"/>
      <c r="K81" s="66"/>
      <c r="L81" s="65"/>
      <c r="M81" s="65"/>
      <c r="N81" s="65"/>
      <c r="O81" s="66"/>
      <c r="P81" s="66"/>
      <c r="Q81" s="66"/>
      <c r="R81" s="65"/>
      <c r="S81" s="65"/>
      <c r="T81" s="65"/>
      <c r="U81" s="66"/>
      <c r="V81" s="66"/>
      <c r="W81" s="66"/>
      <c r="X81" s="65"/>
      <c r="Y81" s="65"/>
      <c r="Z81" s="65"/>
      <c r="AA81" s="66"/>
      <c r="AB81" s="66"/>
      <c r="AC81" s="66"/>
      <c r="AD81" s="65"/>
      <c r="AE81" s="65"/>
      <c r="AF81" s="65"/>
      <c r="AG81" s="66"/>
      <c r="AH81" s="66"/>
      <c r="AI81" s="66"/>
      <c r="AJ81" s="65"/>
      <c r="AK81" s="65"/>
      <c r="AL81" s="65"/>
      <c r="AM81" s="66"/>
      <c r="AN81" s="66"/>
      <c r="AO81" s="66"/>
    </row>
    <row r="82" spans="1:41" s="58" customFormat="1" ht="9.9499999999999993" customHeight="1" x14ac:dyDescent="0.3">
      <c r="A82" s="15"/>
      <c r="B82" s="16"/>
      <c r="C82" s="19"/>
      <c r="D82" s="24"/>
      <c r="E82" s="3"/>
      <c r="F82" s="65"/>
      <c r="G82" s="65"/>
      <c r="H82" s="65"/>
      <c r="I82" s="66"/>
      <c r="J82" s="66"/>
      <c r="K82" s="66"/>
      <c r="L82" s="65"/>
      <c r="M82" s="65"/>
      <c r="N82" s="65"/>
      <c r="O82" s="66"/>
      <c r="P82" s="66"/>
      <c r="Q82" s="66"/>
      <c r="R82" s="65"/>
      <c r="S82" s="65"/>
      <c r="T82" s="65"/>
      <c r="U82" s="66"/>
      <c r="V82" s="66"/>
      <c r="W82" s="66"/>
      <c r="X82" s="65"/>
      <c r="Y82" s="65"/>
      <c r="Z82" s="65"/>
      <c r="AA82" s="66"/>
      <c r="AB82" s="66"/>
      <c r="AC82" s="66"/>
      <c r="AD82" s="65"/>
      <c r="AE82" s="65"/>
      <c r="AF82" s="65"/>
      <c r="AG82" s="66"/>
      <c r="AH82" s="66"/>
      <c r="AI82" s="66"/>
      <c r="AJ82" s="65"/>
      <c r="AK82" s="65"/>
      <c r="AL82" s="65"/>
      <c r="AM82" s="66"/>
      <c r="AN82" s="66"/>
      <c r="AO82" s="66"/>
    </row>
    <row r="83" spans="1:41" s="58" customFormat="1" ht="17.25" x14ac:dyDescent="0.3">
      <c r="A83" s="15" t="s">
        <v>31</v>
      </c>
      <c r="B83" s="16"/>
      <c r="C83" s="14">
        <f>H83+K83+N83+Q83+T83+W83+Z83+AC83+AF83+AI83+AL83+AO83</f>
        <v>2240034</v>
      </c>
      <c r="D83" s="24"/>
      <c r="E83" s="3"/>
      <c r="F83" s="132">
        <v>710315</v>
      </c>
      <c r="G83" s="65"/>
      <c r="H83" s="65">
        <f t="shared" si="27"/>
        <v>710315</v>
      </c>
      <c r="I83" s="132">
        <f>256173</f>
        <v>256173</v>
      </c>
      <c r="J83" s="66"/>
      <c r="K83" s="66">
        <f t="shared" si="28"/>
        <v>256173</v>
      </c>
      <c r="L83" s="65">
        <v>0</v>
      </c>
      <c r="M83" s="65"/>
      <c r="N83" s="65">
        <f t="shared" si="29"/>
        <v>0</v>
      </c>
      <c r="O83" s="132">
        <v>636410</v>
      </c>
      <c r="P83" s="66"/>
      <c r="Q83" s="66">
        <f t="shared" si="30"/>
        <v>636410</v>
      </c>
      <c r="R83" s="132">
        <v>526380</v>
      </c>
      <c r="S83" s="65"/>
      <c r="T83" s="65">
        <f t="shared" si="31"/>
        <v>526380</v>
      </c>
      <c r="U83" s="132">
        <v>27415</v>
      </c>
      <c r="V83" s="66"/>
      <c r="W83" s="66">
        <f t="shared" si="32"/>
        <v>27415</v>
      </c>
      <c r="X83" s="132">
        <v>43098</v>
      </c>
      <c r="Y83" s="65"/>
      <c r="Z83" s="65">
        <f t="shared" si="33"/>
        <v>43098</v>
      </c>
      <c r="AA83" s="132">
        <v>40243</v>
      </c>
      <c r="AB83" s="66"/>
      <c r="AC83" s="66">
        <f t="shared" si="34"/>
        <v>40243</v>
      </c>
      <c r="AD83" s="65">
        <v>0</v>
      </c>
      <c r="AE83" s="65"/>
      <c r="AF83" s="65">
        <f t="shared" si="35"/>
        <v>0</v>
      </c>
      <c r="AG83" s="66"/>
      <c r="AH83" s="66"/>
      <c r="AI83" s="66">
        <f t="shared" si="36"/>
        <v>0</v>
      </c>
      <c r="AJ83" s="65"/>
      <c r="AK83" s="65"/>
      <c r="AL83" s="65">
        <f t="shared" si="37"/>
        <v>0</v>
      </c>
      <c r="AM83" s="66"/>
      <c r="AN83" s="66"/>
      <c r="AO83" s="66">
        <f t="shared" ref="AO83" si="46">AM83+AN83</f>
        <v>0</v>
      </c>
    </row>
    <row r="84" spans="1:41" s="58" customFormat="1" ht="18.95" customHeight="1" x14ac:dyDescent="0.3">
      <c r="A84" s="4" t="s">
        <v>32</v>
      </c>
      <c r="B84" s="16"/>
      <c r="C84" s="17">
        <f>C83</f>
        <v>2240034</v>
      </c>
      <c r="D84" s="28"/>
      <c r="E84" s="3"/>
      <c r="F84" s="17">
        <f>F83</f>
        <v>710315</v>
      </c>
      <c r="G84" s="17">
        <f t="shared" ref="G84:AO84" si="47">G83</f>
        <v>0</v>
      </c>
      <c r="H84" s="17">
        <f t="shared" si="47"/>
        <v>710315</v>
      </c>
      <c r="I84" s="17">
        <f t="shared" si="47"/>
        <v>256173</v>
      </c>
      <c r="J84" s="17">
        <f t="shared" si="47"/>
        <v>0</v>
      </c>
      <c r="K84" s="17">
        <f t="shared" si="47"/>
        <v>256173</v>
      </c>
      <c r="L84" s="17">
        <f t="shared" si="47"/>
        <v>0</v>
      </c>
      <c r="M84" s="17">
        <f t="shared" si="47"/>
        <v>0</v>
      </c>
      <c r="N84" s="17">
        <f t="shared" si="47"/>
        <v>0</v>
      </c>
      <c r="O84" s="17">
        <f t="shared" si="47"/>
        <v>636410</v>
      </c>
      <c r="P84" s="17">
        <f t="shared" si="47"/>
        <v>0</v>
      </c>
      <c r="Q84" s="17">
        <f t="shared" si="47"/>
        <v>636410</v>
      </c>
      <c r="R84" s="17">
        <f t="shared" si="47"/>
        <v>526380</v>
      </c>
      <c r="S84" s="17">
        <f t="shared" si="47"/>
        <v>0</v>
      </c>
      <c r="T84" s="17">
        <f t="shared" si="47"/>
        <v>526380</v>
      </c>
      <c r="U84" s="17">
        <f t="shared" si="47"/>
        <v>27415</v>
      </c>
      <c r="V84" s="17">
        <f t="shared" si="47"/>
        <v>0</v>
      </c>
      <c r="W84" s="17">
        <f t="shared" si="47"/>
        <v>27415</v>
      </c>
      <c r="X84" s="17">
        <f t="shared" si="47"/>
        <v>43098</v>
      </c>
      <c r="Y84" s="17">
        <f t="shared" si="47"/>
        <v>0</v>
      </c>
      <c r="Z84" s="17">
        <f t="shared" si="47"/>
        <v>43098</v>
      </c>
      <c r="AA84" s="17">
        <f t="shared" si="47"/>
        <v>40243</v>
      </c>
      <c r="AB84" s="17">
        <f t="shared" si="47"/>
        <v>0</v>
      </c>
      <c r="AC84" s="17">
        <f t="shared" si="47"/>
        <v>40243</v>
      </c>
      <c r="AD84" s="17">
        <f t="shared" si="47"/>
        <v>0</v>
      </c>
      <c r="AE84" s="17">
        <f t="shared" si="47"/>
        <v>0</v>
      </c>
      <c r="AF84" s="17">
        <f t="shared" si="47"/>
        <v>0</v>
      </c>
      <c r="AG84" s="17">
        <f t="shared" si="47"/>
        <v>0</v>
      </c>
      <c r="AH84" s="17">
        <f t="shared" si="47"/>
        <v>0</v>
      </c>
      <c r="AI84" s="17">
        <f t="shared" si="47"/>
        <v>0</v>
      </c>
      <c r="AJ84" s="17">
        <f t="shared" si="47"/>
        <v>0</v>
      </c>
      <c r="AK84" s="17">
        <f t="shared" si="47"/>
        <v>0</v>
      </c>
      <c r="AL84" s="17">
        <f t="shared" si="47"/>
        <v>0</v>
      </c>
      <c r="AM84" s="17">
        <f t="shared" si="47"/>
        <v>0</v>
      </c>
      <c r="AN84" s="17">
        <f t="shared" si="47"/>
        <v>0</v>
      </c>
      <c r="AO84" s="17">
        <f t="shared" si="47"/>
        <v>0</v>
      </c>
    </row>
    <row r="85" spans="1:41" s="58" customFormat="1" ht="9.9499999999999993" customHeight="1" x14ac:dyDescent="0.3">
      <c r="A85" s="4"/>
      <c r="B85" s="16"/>
      <c r="C85" s="17"/>
      <c r="D85" s="28"/>
      <c r="E85" s="3"/>
      <c r="F85" s="65"/>
      <c r="G85" s="65"/>
      <c r="H85" s="65"/>
      <c r="I85" s="66"/>
      <c r="J85" s="66"/>
      <c r="K85" s="66"/>
      <c r="L85" s="65"/>
      <c r="M85" s="65"/>
      <c r="N85" s="65"/>
      <c r="O85" s="66"/>
      <c r="P85" s="66"/>
      <c r="Q85" s="66"/>
      <c r="R85" s="65"/>
      <c r="S85" s="65"/>
      <c r="T85" s="65"/>
      <c r="U85" s="66"/>
      <c r="V85" s="66"/>
      <c r="W85" s="66"/>
      <c r="X85" s="65"/>
      <c r="Y85" s="65"/>
      <c r="Z85" s="65"/>
      <c r="AA85" s="66"/>
      <c r="AB85" s="66"/>
      <c r="AC85" s="66"/>
      <c r="AD85" s="65"/>
      <c r="AE85" s="65"/>
      <c r="AF85" s="65"/>
      <c r="AG85" s="66"/>
      <c r="AH85" s="66"/>
      <c r="AI85" s="66"/>
      <c r="AJ85" s="65"/>
      <c r="AK85" s="65"/>
      <c r="AL85" s="65"/>
      <c r="AM85" s="66"/>
      <c r="AN85" s="66"/>
      <c r="AO85" s="66"/>
    </row>
    <row r="86" spans="1:41" s="58" customFormat="1" ht="17.25" x14ac:dyDescent="0.3">
      <c r="A86" s="4" t="s">
        <v>33</v>
      </c>
      <c r="B86" s="16"/>
      <c r="C86" s="28"/>
      <c r="D86" s="28"/>
      <c r="E86" s="3"/>
      <c r="F86" s="65"/>
      <c r="G86" s="65"/>
      <c r="H86" s="65">
        <f t="shared" si="27"/>
        <v>0</v>
      </c>
      <c r="I86" s="66"/>
      <c r="J86" s="66"/>
      <c r="K86" s="66">
        <f t="shared" si="28"/>
        <v>0</v>
      </c>
      <c r="L86" s="65"/>
      <c r="M86" s="65"/>
      <c r="N86" s="65">
        <f t="shared" si="29"/>
        <v>0</v>
      </c>
      <c r="O86" s="66"/>
      <c r="P86" s="66"/>
      <c r="Q86" s="66">
        <f t="shared" si="30"/>
        <v>0</v>
      </c>
      <c r="R86" s="65"/>
      <c r="S86" s="65"/>
      <c r="T86" s="65">
        <f t="shared" si="31"/>
        <v>0</v>
      </c>
      <c r="U86" s="66"/>
      <c r="V86" s="66"/>
      <c r="W86" s="66">
        <f t="shared" si="32"/>
        <v>0</v>
      </c>
      <c r="X86" s="65"/>
      <c r="Y86" s="65"/>
      <c r="Z86" s="65">
        <f t="shared" si="33"/>
        <v>0</v>
      </c>
      <c r="AA86" s="66"/>
      <c r="AB86" s="66"/>
      <c r="AC86" s="66">
        <f t="shared" si="34"/>
        <v>0</v>
      </c>
      <c r="AD86" s="65"/>
      <c r="AE86" s="65"/>
      <c r="AF86" s="65">
        <f t="shared" si="35"/>
        <v>0</v>
      </c>
      <c r="AG86" s="66"/>
      <c r="AH86" s="66"/>
      <c r="AI86" s="66">
        <f t="shared" si="36"/>
        <v>0</v>
      </c>
      <c r="AJ86" s="65"/>
      <c r="AK86" s="65"/>
      <c r="AL86" s="65">
        <f t="shared" si="37"/>
        <v>0</v>
      </c>
      <c r="AM86" s="66"/>
      <c r="AN86" s="66"/>
      <c r="AO86" s="66">
        <f t="shared" ref="AO86:AO88" si="48">AM86+AN86</f>
        <v>0</v>
      </c>
    </row>
    <row r="87" spans="1:41" s="58" customFormat="1" ht="17.25" x14ac:dyDescent="0.3">
      <c r="A87" s="70" t="s">
        <v>78</v>
      </c>
      <c r="B87" s="16"/>
      <c r="C87" s="21"/>
      <c r="D87" s="28"/>
      <c r="E87" s="3"/>
      <c r="F87" s="65"/>
      <c r="G87" s="65"/>
      <c r="H87" s="65">
        <f t="shared" si="27"/>
        <v>0</v>
      </c>
      <c r="I87" s="66"/>
      <c r="J87" s="66"/>
      <c r="K87" s="66">
        <f t="shared" si="28"/>
        <v>0</v>
      </c>
      <c r="L87" s="65"/>
      <c r="M87" s="65"/>
      <c r="N87" s="65">
        <f t="shared" si="29"/>
        <v>0</v>
      </c>
      <c r="O87" s="66"/>
      <c r="P87" s="66"/>
      <c r="Q87" s="66">
        <f t="shared" si="30"/>
        <v>0</v>
      </c>
      <c r="R87" s="65"/>
      <c r="S87" s="65"/>
      <c r="T87" s="65">
        <f t="shared" si="31"/>
        <v>0</v>
      </c>
      <c r="U87" s="66"/>
      <c r="V87" s="66"/>
      <c r="W87" s="66">
        <f t="shared" si="32"/>
        <v>0</v>
      </c>
      <c r="X87" s="65"/>
      <c r="Y87" s="65"/>
      <c r="Z87" s="65">
        <f t="shared" si="33"/>
        <v>0</v>
      </c>
      <c r="AA87" s="66"/>
      <c r="AB87" s="66"/>
      <c r="AC87" s="66">
        <f t="shared" si="34"/>
        <v>0</v>
      </c>
      <c r="AD87" s="65"/>
      <c r="AE87" s="65"/>
      <c r="AF87" s="65">
        <f t="shared" si="35"/>
        <v>0</v>
      </c>
      <c r="AG87" s="66"/>
      <c r="AH87" s="66"/>
      <c r="AI87" s="66">
        <f t="shared" si="36"/>
        <v>0</v>
      </c>
      <c r="AJ87" s="65"/>
      <c r="AK87" s="65"/>
      <c r="AL87" s="65">
        <f t="shared" si="37"/>
        <v>0</v>
      </c>
      <c r="AM87" s="66"/>
      <c r="AN87" s="66"/>
      <c r="AO87" s="66">
        <f t="shared" si="48"/>
        <v>0</v>
      </c>
    </row>
    <row r="88" spans="1:41" s="58" customFormat="1" ht="17.25" x14ac:dyDescent="0.3">
      <c r="A88" s="15" t="s">
        <v>34</v>
      </c>
      <c r="B88" s="16"/>
      <c r="C88" s="14">
        <f>H88+K88+N88+Q88+T88+W88+Z88+AC88+AF88+AI88+AL88+AO88</f>
        <v>3314042</v>
      </c>
      <c r="D88" s="28"/>
      <c r="E88" s="3"/>
      <c r="F88" s="132">
        <v>1028405</v>
      </c>
      <c r="G88" s="65"/>
      <c r="H88" s="65">
        <f t="shared" si="27"/>
        <v>1028405</v>
      </c>
      <c r="I88" s="132">
        <v>0</v>
      </c>
      <c r="J88" s="66"/>
      <c r="K88" s="66">
        <f t="shared" si="28"/>
        <v>0</v>
      </c>
      <c r="L88" s="65">
        <v>0</v>
      </c>
      <c r="M88" s="65"/>
      <c r="N88" s="65">
        <f t="shared" si="29"/>
        <v>0</v>
      </c>
      <c r="O88" s="132">
        <v>2285637</v>
      </c>
      <c r="P88" s="66"/>
      <c r="Q88" s="66">
        <f t="shared" si="30"/>
        <v>2285637</v>
      </c>
      <c r="R88" s="132">
        <v>0</v>
      </c>
      <c r="S88" s="65"/>
      <c r="T88" s="65">
        <f t="shared" si="31"/>
        <v>0</v>
      </c>
      <c r="U88" s="132">
        <v>0</v>
      </c>
      <c r="V88" s="66"/>
      <c r="W88" s="66">
        <f t="shared" si="32"/>
        <v>0</v>
      </c>
      <c r="X88" s="65"/>
      <c r="Y88" s="65"/>
      <c r="Z88" s="65">
        <f t="shared" si="33"/>
        <v>0</v>
      </c>
      <c r="AA88" s="66"/>
      <c r="AB88" s="66"/>
      <c r="AC88" s="66">
        <f t="shared" si="34"/>
        <v>0</v>
      </c>
      <c r="AD88" s="65"/>
      <c r="AE88" s="65"/>
      <c r="AF88" s="65">
        <f t="shared" si="35"/>
        <v>0</v>
      </c>
      <c r="AG88" s="66"/>
      <c r="AH88" s="66"/>
      <c r="AI88" s="66">
        <f t="shared" si="36"/>
        <v>0</v>
      </c>
      <c r="AJ88" s="65"/>
      <c r="AK88" s="65"/>
      <c r="AL88" s="65">
        <f t="shared" si="37"/>
        <v>0</v>
      </c>
      <c r="AM88" s="66"/>
      <c r="AN88" s="66"/>
      <c r="AO88" s="66">
        <f t="shared" si="48"/>
        <v>0</v>
      </c>
    </row>
    <row r="89" spans="1:41" s="58" customFormat="1" ht="17.25" x14ac:dyDescent="0.3">
      <c r="A89" s="71" t="s">
        <v>77</v>
      </c>
      <c r="B89" s="16"/>
      <c r="C89" s="17">
        <f>C88</f>
        <v>3314042</v>
      </c>
      <c r="D89" s="28"/>
      <c r="E89" s="3"/>
      <c r="F89" s="17">
        <f>F88</f>
        <v>1028405</v>
      </c>
      <c r="G89" s="17">
        <f t="shared" ref="G89:AO89" si="49">G88</f>
        <v>0</v>
      </c>
      <c r="H89" s="17">
        <f t="shared" si="49"/>
        <v>1028405</v>
      </c>
      <c r="I89" s="17">
        <f t="shared" si="49"/>
        <v>0</v>
      </c>
      <c r="J89" s="17">
        <f t="shared" si="49"/>
        <v>0</v>
      </c>
      <c r="K89" s="17">
        <f t="shared" si="49"/>
        <v>0</v>
      </c>
      <c r="L89" s="17">
        <f t="shared" si="49"/>
        <v>0</v>
      </c>
      <c r="M89" s="17">
        <f t="shared" si="49"/>
        <v>0</v>
      </c>
      <c r="N89" s="17">
        <f t="shared" si="49"/>
        <v>0</v>
      </c>
      <c r="O89" s="17">
        <f t="shared" si="49"/>
        <v>2285637</v>
      </c>
      <c r="P89" s="17">
        <f t="shared" si="49"/>
        <v>0</v>
      </c>
      <c r="Q89" s="17">
        <f t="shared" si="49"/>
        <v>2285637</v>
      </c>
      <c r="R89" s="17">
        <f t="shared" si="49"/>
        <v>0</v>
      </c>
      <c r="S89" s="17">
        <f t="shared" si="49"/>
        <v>0</v>
      </c>
      <c r="T89" s="17">
        <f t="shared" si="49"/>
        <v>0</v>
      </c>
      <c r="U89" s="17">
        <f t="shared" si="49"/>
        <v>0</v>
      </c>
      <c r="V89" s="17">
        <f t="shared" si="49"/>
        <v>0</v>
      </c>
      <c r="W89" s="17">
        <f t="shared" si="49"/>
        <v>0</v>
      </c>
      <c r="X89" s="17">
        <f t="shared" si="49"/>
        <v>0</v>
      </c>
      <c r="Y89" s="17">
        <f t="shared" si="49"/>
        <v>0</v>
      </c>
      <c r="Z89" s="17">
        <f t="shared" si="49"/>
        <v>0</v>
      </c>
      <c r="AA89" s="17">
        <f t="shared" si="49"/>
        <v>0</v>
      </c>
      <c r="AB89" s="17">
        <f t="shared" si="49"/>
        <v>0</v>
      </c>
      <c r="AC89" s="17">
        <f t="shared" si="49"/>
        <v>0</v>
      </c>
      <c r="AD89" s="17">
        <f t="shared" si="49"/>
        <v>0</v>
      </c>
      <c r="AE89" s="17">
        <f t="shared" si="49"/>
        <v>0</v>
      </c>
      <c r="AF89" s="17">
        <f t="shared" si="49"/>
        <v>0</v>
      </c>
      <c r="AG89" s="17">
        <f t="shared" si="49"/>
        <v>0</v>
      </c>
      <c r="AH89" s="17">
        <f t="shared" si="49"/>
        <v>0</v>
      </c>
      <c r="AI89" s="17">
        <f t="shared" si="49"/>
        <v>0</v>
      </c>
      <c r="AJ89" s="17">
        <f t="shared" si="49"/>
        <v>0</v>
      </c>
      <c r="AK89" s="17">
        <f t="shared" si="49"/>
        <v>0</v>
      </c>
      <c r="AL89" s="17">
        <f t="shared" si="49"/>
        <v>0</v>
      </c>
      <c r="AM89" s="17">
        <f t="shared" si="49"/>
        <v>0</v>
      </c>
      <c r="AN89" s="17">
        <f t="shared" si="49"/>
        <v>0</v>
      </c>
      <c r="AO89" s="17">
        <f t="shared" si="49"/>
        <v>0</v>
      </c>
    </row>
    <row r="90" spans="1:41" s="58" customFormat="1" ht="11.1" customHeight="1" x14ac:dyDescent="0.3">
      <c r="A90" s="15"/>
      <c r="B90" s="16"/>
      <c r="C90" s="24"/>
      <c r="D90" s="24"/>
      <c r="E90" s="3"/>
      <c r="F90" s="65"/>
      <c r="G90" s="65"/>
      <c r="H90" s="65"/>
      <c r="I90" s="66"/>
      <c r="J90" s="66"/>
      <c r="K90" s="66"/>
      <c r="L90" s="65"/>
      <c r="M90" s="65"/>
      <c r="N90" s="65"/>
      <c r="O90" s="66"/>
      <c r="P90" s="66"/>
      <c r="Q90" s="66"/>
      <c r="R90" s="65"/>
      <c r="S90" s="65"/>
      <c r="T90" s="65"/>
      <c r="U90" s="66"/>
      <c r="V90" s="66"/>
      <c r="W90" s="66"/>
      <c r="X90" s="65"/>
      <c r="Y90" s="65"/>
      <c r="Z90" s="65"/>
      <c r="AA90" s="66"/>
      <c r="AB90" s="66"/>
      <c r="AC90" s="66"/>
      <c r="AD90" s="65"/>
      <c r="AE90" s="65"/>
      <c r="AF90" s="65"/>
      <c r="AG90" s="66"/>
      <c r="AH90" s="66"/>
      <c r="AI90" s="66"/>
      <c r="AJ90" s="65"/>
      <c r="AK90" s="65"/>
      <c r="AL90" s="65"/>
      <c r="AM90" s="66"/>
      <c r="AN90" s="66"/>
      <c r="AO90" s="66"/>
    </row>
    <row r="91" spans="1:41" s="58" customFormat="1" ht="17.25" x14ac:dyDescent="0.3">
      <c r="A91" s="70" t="s">
        <v>79</v>
      </c>
      <c r="B91" s="16"/>
      <c r="C91" s="19"/>
      <c r="D91" s="24"/>
      <c r="E91" s="3"/>
      <c r="F91" s="65"/>
      <c r="G91" s="65"/>
      <c r="H91" s="65"/>
      <c r="I91" s="66"/>
      <c r="J91" s="66"/>
      <c r="K91" s="66"/>
      <c r="L91" s="65"/>
      <c r="M91" s="65"/>
      <c r="N91" s="65"/>
      <c r="O91" s="66"/>
      <c r="P91" s="66"/>
      <c r="Q91" s="66"/>
      <c r="R91" s="65"/>
      <c r="S91" s="65"/>
      <c r="T91" s="65"/>
      <c r="U91" s="66"/>
      <c r="V91" s="66"/>
      <c r="W91" s="66"/>
      <c r="X91" s="65"/>
      <c r="Y91" s="65"/>
      <c r="Z91" s="65"/>
      <c r="AA91" s="66"/>
      <c r="AB91" s="66"/>
      <c r="AC91" s="66"/>
      <c r="AD91" s="65"/>
      <c r="AE91" s="65"/>
      <c r="AF91" s="65"/>
      <c r="AG91" s="66"/>
      <c r="AH91" s="66"/>
      <c r="AI91" s="66"/>
      <c r="AJ91" s="65"/>
      <c r="AK91" s="65"/>
      <c r="AL91" s="65"/>
      <c r="AM91" s="66"/>
      <c r="AN91" s="66"/>
      <c r="AO91" s="66"/>
    </row>
    <row r="92" spans="1:41" s="58" customFormat="1" ht="17.25" x14ac:dyDescent="0.3">
      <c r="A92" s="68" t="s">
        <v>75</v>
      </c>
      <c r="B92" s="16"/>
      <c r="C92" s="14">
        <f>H92+K92+N92+Q92+T92+W92+Z92+AC92+AF92+AI92+AL92+AO92</f>
        <v>0</v>
      </c>
      <c r="D92" s="24"/>
      <c r="E92" s="3"/>
      <c r="F92" s="132">
        <v>0</v>
      </c>
      <c r="G92" s="65"/>
      <c r="H92" s="65">
        <f t="shared" si="27"/>
        <v>0</v>
      </c>
      <c r="I92" s="132"/>
      <c r="J92" s="66"/>
      <c r="K92" s="66">
        <f t="shared" si="28"/>
        <v>0</v>
      </c>
      <c r="L92" s="65">
        <v>0</v>
      </c>
      <c r="M92" s="65"/>
      <c r="N92" s="65">
        <f t="shared" si="29"/>
        <v>0</v>
      </c>
      <c r="O92" s="132">
        <v>0</v>
      </c>
      <c r="P92" s="66"/>
      <c r="Q92" s="66">
        <f t="shared" si="30"/>
        <v>0</v>
      </c>
      <c r="R92" s="132">
        <v>0</v>
      </c>
      <c r="S92" s="65"/>
      <c r="T92" s="65">
        <f t="shared" si="31"/>
        <v>0</v>
      </c>
      <c r="U92" s="132">
        <v>0</v>
      </c>
      <c r="V92" s="66"/>
      <c r="W92" s="66">
        <f t="shared" si="32"/>
        <v>0</v>
      </c>
      <c r="X92" s="65"/>
      <c r="Y92" s="65"/>
      <c r="Z92" s="65">
        <f t="shared" si="33"/>
        <v>0</v>
      </c>
      <c r="AA92" s="66"/>
      <c r="AB92" s="66"/>
      <c r="AC92" s="66">
        <f t="shared" si="34"/>
        <v>0</v>
      </c>
      <c r="AD92" s="65"/>
      <c r="AE92" s="65"/>
      <c r="AF92" s="65">
        <f t="shared" si="35"/>
        <v>0</v>
      </c>
      <c r="AG92" s="66"/>
      <c r="AH92" s="66"/>
      <c r="AI92" s="66">
        <f t="shared" si="36"/>
        <v>0</v>
      </c>
      <c r="AJ92" s="65"/>
      <c r="AK92" s="65"/>
      <c r="AL92" s="65">
        <f t="shared" si="37"/>
        <v>0</v>
      </c>
      <c r="AM92" s="66"/>
      <c r="AN92" s="66"/>
      <c r="AO92" s="66">
        <f t="shared" ref="AO92:AO95" si="50">AM92+AN92</f>
        <v>0</v>
      </c>
    </row>
    <row r="93" spans="1:41" s="58" customFormat="1" ht="17.25" x14ac:dyDescent="0.3">
      <c r="A93" s="15" t="s">
        <v>35</v>
      </c>
      <c r="B93" s="16"/>
      <c r="C93" s="14">
        <f>H93+K93+N93+Q93+T93+W93+Z93+AC93+AF93+AI93+AL93+AO93</f>
        <v>146065</v>
      </c>
      <c r="D93" s="24"/>
      <c r="E93" s="3"/>
      <c r="F93" s="132">
        <v>29316</v>
      </c>
      <c r="G93" s="65"/>
      <c r="H93" s="65">
        <f t="shared" si="27"/>
        <v>29316</v>
      </c>
      <c r="I93" s="132">
        <v>52144</v>
      </c>
      <c r="J93" s="66"/>
      <c r="K93" s="66">
        <f t="shared" si="28"/>
        <v>52144</v>
      </c>
      <c r="L93" s="65">
        <v>0</v>
      </c>
      <c r="M93" s="65"/>
      <c r="N93" s="65">
        <f t="shared" si="29"/>
        <v>0</v>
      </c>
      <c r="O93" s="132">
        <v>21109</v>
      </c>
      <c r="P93" s="66"/>
      <c r="Q93" s="66">
        <f t="shared" si="30"/>
        <v>21109</v>
      </c>
      <c r="R93" s="132">
        <v>29109</v>
      </c>
      <c r="S93" s="65"/>
      <c r="T93" s="65">
        <f t="shared" si="31"/>
        <v>29109</v>
      </c>
      <c r="U93" s="132">
        <v>14387</v>
      </c>
      <c r="V93" s="66"/>
      <c r="W93" s="66">
        <f t="shared" si="32"/>
        <v>14387</v>
      </c>
      <c r="X93" s="65"/>
      <c r="Y93" s="65"/>
      <c r="Z93" s="65">
        <f t="shared" si="33"/>
        <v>0</v>
      </c>
      <c r="AA93" s="66"/>
      <c r="AB93" s="66"/>
      <c r="AC93" s="66">
        <f t="shared" si="34"/>
        <v>0</v>
      </c>
      <c r="AD93" s="65"/>
      <c r="AE93" s="65"/>
      <c r="AF93" s="65">
        <f t="shared" si="35"/>
        <v>0</v>
      </c>
      <c r="AG93" s="66"/>
      <c r="AH93" s="66"/>
      <c r="AI93" s="66">
        <f t="shared" si="36"/>
        <v>0</v>
      </c>
      <c r="AJ93" s="65"/>
      <c r="AK93" s="65"/>
      <c r="AL93" s="65">
        <f t="shared" si="37"/>
        <v>0</v>
      </c>
      <c r="AM93" s="66"/>
      <c r="AN93" s="66"/>
      <c r="AO93" s="66">
        <f t="shared" si="50"/>
        <v>0</v>
      </c>
    </row>
    <row r="94" spans="1:41" s="58" customFormat="1" ht="17.25" x14ac:dyDescent="0.3">
      <c r="A94" s="68" t="s">
        <v>76</v>
      </c>
      <c r="B94" s="16"/>
      <c r="C94" s="14">
        <f>H94+K94+N94+Q94+T94+W94+Z94+AC94+AF94+AI94+AL94+AO94</f>
        <v>25700</v>
      </c>
      <c r="D94" s="24"/>
      <c r="E94" s="3"/>
      <c r="F94" s="132">
        <v>23333</v>
      </c>
      <c r="G94" s="65"/>
      <c r="H94" s="65">
        <f t="shared" si="27"/>
        <v>23333</v>
      </c>
      <c r="I94" s="132">
        <v>0</v>
      </c>
      <c r="J94" s="66"/>
      <c r="K94" s="66">
        <f t="shared" si="28"/>
        <v>0</v>
      </c>
      <c r="L94" s="65">
        <v>0</v>
      </c>
      <c r="M94" s="65"/>
      <c r="N94" s="65">
        <f t="shared" si="29"/>
        <v>0</v>
      </c>
      <c r="O94" s="132">
        <v>2367</v>
      </c>
      <c r="P94" s="66"/>
      <c r="Q94" s="66">
        <f t="shared" si="30"/>
        <v>2367</v>
      </c>
      <c r="R94" s="132">
        <v>0</v>
      </c>
      <c r="S94" s="65"/>
      <c r="T94" s="65">
        <f t="shared" si="31"/>
        <v>0</v>
      </c>
      <c r="U94" s="132">
        <v>0</v>
      </c>
      <c r="V94" s="66"/>
      <c r="W94" s="66">
        <f t="shared" si="32"/>
        <v>0</v>
      </c>
      <c r="X94" s="65"/>
      <c r="Y94" s="65"/>
      <c r="Z94" s="65">
        <f t="shared" si="33"/>
        <v>0</v>
      </c>
      <c r="AA94" s="66"/>
      <c r="AB94" s="66"/>
      <c r="AC94" s="66">
        <f t="shared" si="34"/>
        <v>0</v>
      </c>
      <c r="AD94" s="65"/>
      <c r="AE94" s="65"/>
      <c r="AF94" s="65">
        <f t="shared" si="35"/>
        <v>0</v>
      </c>
      <c r="AG94" s="66"/>
      <c r="AH94" s="66"/>
      <c r="AI94" s="66">
        <f t="shared" si="36"/>
        <v>0</v>
      </c>
      <c r="AJ94" s="65"/>
      <c r="AK94" s="65"/>
      <c r="AL94" s="65">
        <f t="shared" si="37"/>
        <v>0</v>
      </c>
      <c r="AM94" s="66"/>
      <c r="AN94" s="66"/>
      <c r="AO94" s="66">
        <f t="shared" si="50"/>
        <v>0</v>
      </c>
    </row>
    <row r="95" spans="1:41" s="58" customFormat="1" ht="18.95" customHeight="1" x14ac:dyDescent="0.3">
      <c r="A95" s="15" t="s">
        <v>36</v>
      </c>
      <c r="B95" s="16"/>
      <c r="C95" s="14">
        <f>H95+K95+N95+Q95+T95+W95+Z95+AC95+AF95+AI95+AL95+AO95</f>
        <v>206912</v>
      </c>
      <c r="D95" s="45"/>
      <c r="E95" s="3"/>
      <c r="F95" s="132">
        <v>87842</v>
      </c>
      <c r="G95" s="120">
        <v>-43130</v>
      </c>
      <c r="H95" s="65">
        <f t="shared" si="27"/>
        <v>44712</v>
      </c>
      <c r="I95" s="132">
        <v>100000</v>
      </c>
      <c r="J95" s="66"/>
      <c r="K95" s="66">
        <f t="shared" si="28"/>
        <v>100000</v>
      </c>
      <c r="L95" s="65">
        <v>0</v>
      </c>
      <c r="M95" s="65"/>
      <c r="N95" s="65">
        <f t="shared" si="29"/>
        <v>0</v>
      </c>
      <c r="O95" s="132">
        <v>50000</v>
      </c>
      <c r="P95" s="66"/>
      <c r="Q95" s="66">
        <f t="shared" si="30"/>
        <v>50000</v>
      </c>
      <c r="R95" s="132">
        <v>510000</v>
      </c>
      <c r="S95" s="65">
        <v>-510000</v>
      </c>
      <c r="T95" s="65">
        <f t="shared" si="31"/>
        <v>0</v>
      </c>
      <c r="U95" s="132">
        <v>0</v>
      </c>
      <c r="V95" s="120">
        <v>0</v>
      </c>
      <c r="W95" s="66">
        <f t="shared" si="32"/>
        <v>0</v>
      </c>
      <c r="X95" s="132">
        <v>12200</v>
      </c>
      <c r="Y95" s="65"/>
      <c r="Z95" s="65">
        <f t="shared" si="33"/>
        <v>12200</v>
      </c>
      <c r="AA95" s="66"/>
      <c r="AB95" s="66"/>
      <c r="AC95" s="66">
        <f t="shared" si="34"/>
        <v>0</v>
      </c>
      <c r="AD95" s="65"/>
      <c r="AE95" s="65"/>
      <c r="AF95" s="65">
        <f t="shared" si="35"/>
        <v>0</v>
      </c>
      <c r="AG95" s="66"/>
      <c r="AH95" s="66"/>
      <c r="AI95" s="66">
        <f t="shared" si="36"/>
        <v>0</v>
      </c>
      <c r="AJ95" s="65"/>
      <c r="AK95" s="97"/>
      <c r="AL95" s="65">
        <f t="shared" si="37"/>
        <v>0</v>
      </c>
      <c r="AM95" s="66"/>
      <c r="AN95" s="66"/>
      <c r="AO95" s="66">
        <f t="shared" si="50"/>
        <v>0</v>
      </c>
    </row>
    <row r="96" spans="1:41" s="58" customFormat="1" ht="18.95" customHeight="1" x14ac:dyDescent="0.3">
      <c r="A96" s="70" t="s">
        <v>80</v>
      </c>
      <c r="B96" s="16"/>
      <c r="C96" s="28">
        <f>SUM(C92:C95)</f>
        <v>378677</v>
      </c>
      <c r="D96" s="28"/>
      <c r="E96" s="3"/>
      <c r="F96" s="28">
        <f>SUM(F92:F95)</f>
        <v>140491</v>
      </c>
      <c r="G96" s="28">
        <f>SUM(G92:G95)</f>
        <v>-43130</v>
      </c>
      <c r="H96" s="28">
        <f>SUM(H92:H95)</f>
        <v>97361</v>
      </c>
      <c r="I96" s="28">
        <f t="shared" ref="I96:AO96" si="51">SUM(I92:I95)</f>
        <v>152144</v>
      </c>
      <c r="J96" s="28">
        <f t="shared" si="51"/>
        <v>0</v>
      </c>
      <c r="K96" s="28">
        <f t="shared" si="51"/>
        <v>152144</v>
      </c>
      <c r="L96" s="28">
        <f t="shared" si="51"/>
        <v>0</v>
      </c>
      <c r="M96" s="28">
        <f t="shared" si="51"/>
        <v>0</v>
      </c>
      <c r="N96" s="28">
        <f t="shared" si="51"/>
        <v>0</v>
      </c>
      <c r="O96" s="28">
        <f t="shared" si="51"/>
        <v>73476</v>
      </c>
      <c r="P96" s="28">
        <f t="shared" si="51"/>
        <v>0</v>
      </c>
      <c r="Q96" s="28">
        <f t="shared" si="51"/>
        <v>73476</v>
      </c>
      <c r="R96" s="28">
        <f t="shared" si="51"/>
        <v>539109</v>
      </c>
      <c r="S96" s="28">
        <f t="shared" si="51"/>
        <v>-510000</v>
      </c>
      <c r="T96" s="28">
        <f t="shared" si="51"/>
        <v>29109</v>
      </c>
      <c r="U96" s="28">
        <f t="shared" si="51"/>
        <v>14387</v>
      </c>
      <c r="V96" s="28">
        <f t="shared" si="51"/>
        <v>0</v>
      </c>
      <c r="W96" s="28">
        <f t="shared" si="51"/>
        <v>14387</v>
      </c>
      <c r="X96" s="28">
        <f t="shared" si="51"/>
        <v>12200</v>
      </c>
      <c r="Y96" s="28">
        <f t="shared" si="51"/>
        <v>0</v>
      </c>
      <c r="Z96" s="28">
        <f t="shared" si="51"/>
        <v>12200</v>
      </c>
      <c r="AA96" s="28">
        <f t="shared" si="51"/>
        <v>0</v>
      </c>
      <c r="AB96" s="28">
        <f t="shared" si="51"/>
        <v>0</v>
      </c>
      <c r="AC96" s="28">
        <f t="shared" si="51"/>
        <v>0</v>
      </c>
      <c r="AD96" s="28">
        <f t="shared" si="51"/>
        <v>0</v>
      </c>
      <c r="AE96" s="28">
        <f t="shared" si="51"/>
        <v>0</v>
      </c>
      <c r="AF96" s="28">
        <f t="shared" si="51"/>
        <v>0</v>
      </c>
      <c r="AG96" s="28">
        <f t="shared" si="51"/>
        <v>0</v>
      </c>
      <c r="AH96" s="28">
        <f t="shared" si="51"/>
        <v>0</v>
      </c>
      <c r="AI96" s="28">
        <f t="shared" si="51"/>
        <v>0</v>
      </c>
      <c r="AJ96" s="28">
        <f t="shared" si="51"/>
        <v>0</v>
      </c>
      <c r="AK96" s="28">
        <f t="shared" si="51"/>
        <v>0</v>
      </c>
      <c r="AL96" s="28">
        <f t="shared" si="51"/>
        <v>0</v>
      </c>
      <c r="AM96" s="28">
        <f t="shared" si="51"/>
        <v>0</v>
      </c>
      <c r="AN96" s="28">
        <f t="shared" si="51"/>
        <v>0</v>
      </c>
      <c r="AO96" s="28">
        <f t="shared" si="51"/>
        <v>0</v>
      </c>
    </row>
    <row r="97" spans="1:42" s="58" customFormat="1" ht="18.95" customHeight="1" x14ac:dyDescent="0.3">
      <c r="A97" s="70" t="s">
        <v>81</v>
      </c>
      <c r="B97" s="16"/>
      <c r="C97" s="72">
        <f>C89+C96</f>
        <v>3692719</v>
      </c>
      <c r="D97" s="28"/>
      <c r="E97" s="3"/>
      <c r="F97" s="72">
        <f>F89+F96</f>
        <v>1168896</v>
      </c>
      <c r="G97" s="72">
        <f t="shared" ref="G97:AO97" si="52">G89+G96</f>
        <v>-43130</v>
      </c>
      <c r="H97" s="72">
        <f t="shared" si="52"/>
        <v>1125766</v>
      </c>
      <c r="I97" s="72">
        <f t="shared" si="52"/>
        <v>152144</v>
      </c>
      <c r="J97" s="72">
        <f t="shared" si="52"/>
        <v>0</v>
      </c>
      <c r="K97" s="72">
        <f t="shared" si="52"/>
        <v>152144</v>
      </c>
      <c r="L97" s="72">
        <f t="shared" si="52"/>
        <v>0</v>
      </c>
      <c r="M97" s="72">
        <f t="shared" si="52"/>
        <v>0</v>
      </c>
      <c r="N97" s="72">
        <f t="shared" si="52"/>
        <v>0</v>
      </c>
      <c r="O97" s="72">
        <f t="shared" si="52"/>
        <v>2359113</v>
      </c>
      <c r="P97" s="72">
        <f t="shared" si="52"/>
        <v>0</v>
      </c>
      <c r="Q97" s="72">
        <f t="shared" si="52"/>
        <v>2359113</v>
      </c>
      <c r="R97" s="72">
        <f t="shared" si="52"/>
        <v>539109</v>
      </c>
      <c r="S97" s="72">
        <f t="shared" si="52"/>
        <v>-510000</v>
      </c>
      <c r="T97" s="72">
        <f t="shared" si="52"/>
        <v>29109</v>
      </c>
      <c r="U97" s="72">
        <f t="shared" si="52"/>
        <v>14387</v>
      </c>
      <c r="V97" s="72">
        <f t="shared" si="52"/>
        <v>0</v>
      </c>
      <c r="W97" s="72">
        <f t="shared" si="52"/>
        <v>14387</v>
      </c>
      <c r="X97" s="72">
        <f t="shared" si="52"/>
        <v>12200</v>
      </c>
      <c r="Y97" s="72">
        <f t="shared" si="52"/>
        <v>0</v>
      </c>
      <c r="Z97" s="72">
        <f t="shared" si="52"/>
        <v>12200</v>
      </c>
      <c r="AA97" s="72">
        <f t="shared" si="52"/>
        <v>0</v>
      </c>
      <c r="AB97" s="72">
        <f t="shared" si="52"/>
        <v>0</v>
      </c>
      <c r="AC97" s="72">
        <f t="shared" si="52"/>
        <v>0</v>
      </c>
      <c r="AD97" s="72">
        <f t="shared" si="52"/>
        <v>0</v>
      </c>
      <c r="AE97" s="72">
        <f t="shared" si="52"/>
        <v>0</v>
      </c>
      <c r="AF97" s="72">
        <f t="shared" si="52"/>
        <v>0</v>
      </c>
      <c r="AG97" s="72">
        <f t="shared" si="52"/>
        <v>0</v>
      </c>
      <c r="AH97" s="72">
        <f t="shared" si="52"/>
        <v>0</v>
      </c>
      <c r="AI97" s="72">
        <f t="shared" si="52"/>
        <v>0</v>
      </c>
      <c r="AJ97" s="72">
        <f t="shared" si="52"/>
        <v>0</v>
      </c>
      <c r="AK97" s="72">
        <f t="shared" si="52"/>
        <v>0</v>
      </c>
      <c r="AL97" s="72">
        <f t="shared" si="52"/>
        <v>0</v>
      </c>
      <c r="AM97" s="72">
        <f t="shared" si="52"/>
        <v>0</v>
      </c>
      <c r="AN97" s="72">
        <f t="shared" si="52"/>
        <v>0</v>
      </c>
      <c r="AO97" s="72">
        <f t="shared" si="52"/>
        <v>0</v>
      </c>
      <c r="AP97" s="3"/>
    </row>
    <row r="98" spans="1:42" s="58" customFormat="1" ht="18.95" customHeight="1" x14ac:dyDescent="0.3">
      <c r="A98" s="4"/>
      <c r="B98" s="16"/>
      <c r="C98" s="28"/>
      <c r="D98" s="28"/>
      <c r="E98" s="3"/>
      <c r="F98" s="28"/>
      <c r="G98" s="65"/>
      <c r="H98" s="65"/>
      <c r="I98" s="66"/>
      <c r="J98" s="66"/>
      <c r="K98" s="66"/>
      <c r="L98" s="65"/>
      <c r="M98" s="65"/>
      <c r="N98" s="65"/>
      <c r="O98" s="66"/>
      <c r="P98" s="66"/>
      <c r="Q98" s="66"/>
      <c r="R98" s="65"/>
      <c r="S98" s="65"/>
      <c r="T98" s="65"/>
      <c r="U98" s="66"/>
      <c r="V98" s="66"/>
      <c r="W98" s="66"/>
      <c r="X98" s="65"/>
      <c r="Y98" s="65"/>
      <c r="Z98" s="65"/>
      <c r="AA98" s="66"/>
      <c r="AB98" s="66"/>
      <c r="AC98" s="66"/>
      <c r="AD98" s="65"/>
      <c r="AE98" s="65"/>
      <c r="AF98" s="65"/>
      <c r="AG98" s="66"/>
      <c r="AH98" s="66"/>
      <c r="AI98" s="66"/>
      <c r="AJ98" s="65"/>
      <c r="AK98" s="65"/>
      <c r="AL98" s="65"/>
      <c r="AM98" s="66"/>
      <c r="AN98" s="66"/>
      <c r="AO98" s="66"/>
      <c r="AP98" s="3"/>
    </row>
    <row r="99" spans="1:42" s="58" customFormat="1" ht="18.95" customHeight="1" thickBot="1" x14ac:dyDescent="0.35">
      <c r="A99" s="4" t="s">
        <v>37</v>
      </c>
      <c r="B99" s="16"/>
      <c r="C99" s="17">
        <f>C84+C97</f>
        <v>5932753</v>
      </c>
      <c r="D99" s="28"/>
      <c r="E99" s="3"/>
      <c r="F99" s="17">
        <f>F84+F97</f>
        <v>1879211</v>
      </c>
      <c r="G99" s="17">
        <f t="shared" ref="G99:AO99" si="53">G84+G97</f>
        <v>-43130</v>
      </c>
      <c r="H99" s="17">
        <f t="shared" si="53"/>
        <v>1836081</v>
      </c>
      <c r="I99" s="17">
        <f t="shared" si="53"/>
        <v>408317</v>
      </c>
      <c r="J99" s="17">
        <f t="shared" si="53"/>
        <v>0</v>
      </c>
      <c r="K99" s="17">
        <f t="shared" si="53"/>
        <v>408317</v>
      </c>
      <c r="L99" s="17">
        <f t="shared" si="53"/>
        <v>0</v>
      </c>
      <c r="M99" s="17">
        <f t="shared" si="53"/>
        <v>0</v>
      </c>
      <c r="N99" s="17">
        <f t="shared" si="53"/>
        <v>0</v>
      </c>
      <c r="O99" s="17">
        <f t="shared" si="53"/>
        <v>2995523</v>
      </c>
      <c r="P99" s="17">
        <f t="shared" si="53"/>
        <v>0</v>
      </c>
      <c r="Q99" s="17">
        <f t="shared" si="53"/>
        <v>2995523</v>
      </c>
      <c r="R99" s="17">
        <f t="shared" si="53"/>
        <v>1065489</v>
      </c>
      <c r="S99" s="17">
        <f t="shared" si="53"/>
        <v>-510000</v>
      </c>
      <c r="T99" s="17">
        <f t="shared" si="53"/>
        <v>555489</v>
      </c>
      <c r="U99" s="17">
        <f t="shared" si="53"/>
        <v>41802</v>
      </c>
      <c r="V99" s="17">
        <f t="shared" si="53"/>
        <v>0</v>
      </c>
      <c r="W99" s="17">
        <f t="shared" si="53"/>
        <v>41802</v>
      </c>
      <c r="X99" s="17">
        <f t="shared" si="53"/>
        <v>55298</v>
      </c>
      <c r="Y99" s="17">
        <f t="shared" si="53"/>
        <v>0</v>
      </c>
      <c r="Z99" s="17">
        <f t="shared" si="53"/>
        <v>55298</v>
      </c>
      <c r="AA99" s="17">
        <f t="shared" si="53"/>
        <v>40243</v>
      </c>
      <c r="AB99" s="17">
        <f t="shared" si="53"/>
        <v>0</v>
      </c>
      <c r="AC99" s="17">
        <f t="shared" si="53"/>
        <v>40243</v>
      </c>
      <c r="AD99" s="17">
        <f t="shared" si="53"/>
        <v>0</v>
      </c>
      <c r="AE99" s="17">
        <f t="shared" si="53"/>
        <v>0</v>
      </c>
      <c r="AF99" s="17">
        <f t="shared" si="53"/>
        <v>0</v>
      </c>
      <c r="AG99" s="17">
        <f t="shared" si="53"/>
        <v>0</v>
      </c>
      <c r="AH99" s="17">
        <f t="shared" si="53"/>
        <v>0</v>
      </c>
      <c r="AI99" s="17">
        <f t="shared" si="53"/>
        <v>0</v>
      </c>
      <c r="AJ99" s="17">
        <f t="shared" si="53"/>
        <v>0</v>
      </c>
      <c r="AK99" s="17">
        <f t="shared" si="53"/>
        <v>0</v>
      </c>
      <c r="AL99" s="17">
        <f t="shared" si="53"/>
        <v>0</v>
      </c>
      <c r="AM99" s="17">
        <f t="shared" si="53"/>
        <v>0</v>
      </c>
      <c r="AN99" s="17">
        <f t="shared" si="53"/>
        <v>0</v>
      </c>
      <c r="AO99" s="17">
        <f t="shared" si="53"/>
        <v>0</v>
      </c>
      <c r="AP99" s="3"/>
    </row>
    <row r="100" spans="1:42" s="58" customFormat="1" ht="15.75" thickTop="1" x14ac:dyDescent="0.2">
      <c r="A100" s="3"/>
      <c r="B100" s="3"/>
      <c r="C100" s="73">
        <f>C74-C99</f>
        <v>0</v>
      </c>
      <c r="D100" s="50"/>
      <c r="E100" s="3"/>
      <c r="F100" s="73">
        <f>F74-F99</f>
        <v>0</v>
      </c>
      <c r="G100" s="73">
        <f t="shared" ref="G100:AO100" si="54">G74-G99</f>
        <v>-56870</v>
      </c>
      <c r="H100" s="73">
        <f t="shared" si="54"/>
        <v>-56870</v>
      </c>
      <c r="I100" s="73">
        <f t="shared" si="54"/>
        <v>0</v>
      </c>
      <c r="J100" s="73">
        <f t="shared" si="54"/>
        <v>-43130</v>
      </c>
      <c r="K100" s="73">
        <f t="shared" si="54"/>
        <v>-43130</v>
      </c>
      <c r="L100" s="73">
        <f t="shared" si="54"/>
        <v>0</v>
      </c>
      <c r="M100" s="73">
        <f t="shared" si="54"/>
        <v>0</v>
      </c>
      <c r="N100" s="73">
        <f t="shared" si="54"/>
        <v>0</v>
      </c>
      <c r="O100" s="73">
        <f t="shared" si="54"/>
        <v>0</v>
      </c>
      <c r="P100" s="73">
        <f t="shared" si="54"/>
        <v>-410000</v>
      </c>
      <c r="Q100" s="73">
        <f t="shared" si="54"/>
        <v>-410000</v>
      </c>
      <c r="R100" s="73">
        <f t="shared" si="54"/>
        <v>0</v>
      </c>
      <c r="S100" s="73">
        <f t="shared" si="54"/>
        <v>510000</v>
      </c>
      <c r="T100" s="73">
        <f t="shared" si="54"/>
        <v>510000</v>
      </c>
      <c r="U100" s="73">
        <f t="shared" si="54"/>
        <v>0</v>
      </c>
      <c r="V100" s="73">
        <f t="shared" si="54"/>
        <v>0</v>
      </c>
      <c r="W100" s="73">
        <f t="shared" si="54"/>
        <v>0</v>
      </c>
      <c r="X100" s="73">
        <f t="shared" si="54"/>
        <v>0</v>
      </c>
      <c r="Y100" s="73">
        <f t="shared" si="54"/>
        <v>0</v>
      </c>
      <c r="Z100" s="73">
        <f t="shared" si="54"/>
        <v>0</v>
      </c>
      <c r="AA100" s="73">
        <f t="shared" si="54"/>
        <v>0</v>
      </c>
      <c r="AB100" s="73">
        <f t="shared" si="54"/>
        <v>0</v>
      </c>
      <c r="AC100" s="73">
        <f t="shared" si="54"/>
        <v>0</v>
      </c>
      <c r="AD100" s="73">
        <f t="shared" si="54"/>
        <v>0</v>
      </c>
      <c r="AE100" s="73">
        <f t="shared" si="54"/>
        <v>0</v>
      </c>
      <c r="AF100" s="73">
        <f t="shared" si="54"/>
        <v>0</v>
      </c>
      <c r="AG100" s="73">
        <f t="shared" si="54"/>
        <v>0</v>
      </c>
      <c r="AH100" s="73">
        <f t="shared" si="54"/>
        <v>0</v>
      </c>
      <c r="AI100" s="73">
        <f t="shared" si="54"/>
        <v>0</v>
      </c>
      <c r="AJ100" s="73">
        <f t="shared" si="54"/>
        <v>0</v>
      </c>
      <c r="AK100" s="73">
        <f t="shared" si="54"/>
        <v>0</v>
      </c>
      <c r="AL100" s="73">
        <f t="shared" si="54"/>
        <v>0</v>
      </c>
      <c r="AM100" s="73">
        <f t="shared" si="54"/>
        <v>0</v>
      </c>
      <c r="AN100" s="73">
        <f t="shared" si="54"/>
        <v>0</v>
      </c>
      <c r="AO100" s="73">
        <f t="shared" si="54"/>
        <v>0</v>
      </c>
      <c r="AP100" s="51"/>
    </row>
    <row r="101" spans="1:42" s="58" customFormat="1" x14ac:dyDescent="0.2">
      <c r="A101" s="3"/>
      <c r="B101" s="3"/>
      <c r="C101" s="50"/>
      <c r="D101" s="50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 t="s">
        <v>163</v>
      </c>
      <c r="AO101" s="51">
        <f>SUM(F100:AO100)</f>
        <v>0</v>
      </c>
      <c r="AP101" s="3"/>
    </row>
    <row r="102" spans="1:42" s="58" customFormat="1" x14ac:dyDescent="0.2">
      <c r="A102" s="3"/>
      <c r="B102" s="3"/>
      <c r="C102" s="51"/>
      <c r="D102" s="52"/>
      <c r="E102" s="3"/>
      <c r="F102" s="3"/>
      <c r="G102" s="51">
        <f>SUM(G100)</f>
        <v>-56870</v>
      </c>
      <c r="H102" s="51"/>
      <c r="I102" s="51"/>
      <c r="J102" s="51">
        <f t="shared" ref="J102:AB102" si="55">SUM(J100)</f>
        <v>-43130</v>
      </c>
      <c r="K102" s="51"/>
      <c r="L102" s="51"/>
      <c r="M102" s="51">
        <f t="shared" si="55"/>
        <v>0</v>
      </c>
      <c r="N102" s="51"/>
      <c r="O102" s="51"/>
      <c r="P102" s="51">
        <f t="shared" si="55"/>
        <v>-410000</v>
      </c>
      <c r="Q102" s="51"/>
      <c r="R102" s="51"/>
      <c r="S102" s="51">
        <f t="shared" si="55"/>
        <v>510000</v>
      </c>
      <c r="T102" s="51"/>
      <c r="U102" s="51"/>
      <c r="V102" s="51">
        <f t="shared" si="55"/>
        <v>0</v>
      </c>
      <c r="W102" s="51"/>
      <c r="X102" s="51"/>
      <c r="Y102" s="51">
        <f t="shared" si="55"/>
        <v>0</v>
      </c>
      <c r="Z102" s="51"/>
      <c r="AA102" s="51"/>
      <c r="AB102" s="51">
        <f t="shared" si="55"/>
        <v>0</v>
      </c>
      <c r="AC102" s="51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2" s="58" customFormat="1" x14ac:dyDescent="0.2">
      <c r="A103" s="15" t="s">
        <v>165</v>
      </c>
      <c r="B103" s="131"/>
      <c r="C103" s="131"/>
      <c r="D103" s="56"/>
      <c r="E103" s="51"/>
      <c r="F103" s="138">
        <f>SUM(G102:AC102)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 s="58" customFormat="1" x14ac:dyDescent="0.2">
      <c r="A104" s="15" t="s">
        <v>166</v>
      </c>
      <c r="B104" s="3"/>
      <c r="C104" s="15"/>
      <c r="D104" s="12"/>
      <c r="E104" s="3"/>
      <c r="F104" s="3"/>
      <c r="G104" s="3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 s="58" customFormat="1" x14ac:dyDescent="0.2">
      <c r="A105" s="15"/>
      <c r="B105" s="3"/>
      <c r="C105" s="15"/>
      <c r="D105" s="12"/>
      <c r="E105" s="3"/>
      <c r="F105" s="51"/>
      <c r="G105" s="3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1:42" s="58" customFormat="1" x14ac:dyDescent="0.2">
      <c r="A106" s="15"/>
      <c r="B106" s="3"/>
      <c r="C106" s="15"/>
      <c r="D106" s="1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2" s="58" customFormat="1" x14ac:dyDescent="0.2">
      <c r="A107" s="15"/>
      <c r="B107" s="3"/>
      <c r="C107" s="15"/>
      <c r="D107" s="1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1:42" s="58" customFormat="1" ht="15.75" x14ac:dyDescent="0.25">
      <c r="A108" s="71" t="s">
        <v>130</v>
      </c>
      <c r="B108" s="3"/>
      <c r="C108" s="15"/>
      <c r="D108" s="1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1:42" s="58" customFormat="1" x14ac:dyDescent="0.2">
      <c r="A109" s="15" t="s">
        <v>131</v>
      </c>
      <c r="B109" s="131"/>
      <c r="C109" s="102">
        <f>F109+I109+L109+O109+R109+U109+X109+AA109+AD109+AG109+AJ109+AM109</f>
        <v>174792</v>
      </c>
      <c r="D109" s="56"/>
      <c r="E109" s="3"/>
      <c r="F109" s="3">
        <v>174792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1:42" s="58" customFormat="1" x14ac:dyDescent="0.2">
      <c r="A110" s="15" t="s">
        <v>132</v>
      </c>
      <c r="B110" s="131"/>
      <c r="C110" s="102">
        <f>F110+I110+L110+O110+R110+U110+X110+AA110+AD110+AG110+AJ110+AM110</f>
        <v>0</v>
      </c>
      <c r="D110" s="56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1:42" s="58" customFormat="1" x14ac:dyDescent="0.2">
      <c r="A111" s="15" t="s">
        <v>133</v>
      </c>
      <c r="B111" s="131"/>
      <c r="C111" s="102">
        <f t="shared" ref="C111:C123" si="56">F111+I111+L111+O111+R111+U111+X111+AA111+AD111+AG111+AJ111+AM111</f>
        <v>41252</v>
      </c>
      <c r="D111" s="56"/>
      <c r="E111" s="3"/>
      <c r="F111" s="3">
        <v>41252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1:42" s="58" customFormat="1" x14ac:dyDescent="0.2">
      <c r="A112" s="15" t="s">
        <v>134</v>
      </c>
      <c r="B112" s="131"/>
      <c r="C112" s="102">
        <f t="shared" si="56"/>
        <v>12969</v>
      </c>
      <c r="D112" s="56"/>
      <c r="E112" s="3"/>
      <c r="F112" s="3">
        <v>12969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1:27" s="58" customFormat="1" x14ac:dyDescent="0.2">
      <c r="A113" s="15" t="s">
        <v>146</v>
      </c>
      <c r="B113" s="131"/>
      <c r="C113" s="102">
        <f t="shared" si="56"/>
        <v>16563</v>
      </c>
      <c r="D113" s="56"/>
      <c r="F113" s="58">
        <v>1113</v>
      </c>
      <c r="R113" s="58">
        <v>15450</v>
      </c>
    </row>
    <row r="114" spans="1:27" s="58" customFormat="1" x14ac:dyDescent="0.2">
      <c r="A114" s="15" t="s">
        <v>145</v>
      </c>
      <c r="B114" s="131"/>
      <c r="C114" s="102">
        <f t="shared" si="56"/>
        <v>0</v>
      </c>
      <c r="D114" s="56"/>
    </row>
    <row r="115" spans="1:27" s="58" customFormat="1" x14ac:dyDescent="0.2">
      <c r="A115" s="15" t="s">
        <v>135</v>
      </c>
      <c r="B115" s="131"/>
      <c r="C115" s="102">
        <f t="shared" si="56"/>
        <v>124367</v>
      </c>
      <c r="D115" s="56"/>
      <c r="I115" s="58">
        <v>92847</v>
      </c>
      <c r="L115" s="58">
        <v>-2160</v>
      </c>
      <c r="O115" s="58">
        <v>16600</v>
      </c>
      <c r="R115" s="58">
        <v>17080</v>
      </c>
    </row>
    <row r="116" spans="1:27" s="58" customFormat="1" x14ac:dyDescent="0.2">
      <c r="A116" s="15" t="s">
        <v>136</v>
      </c>
      <c r="B116" s="131"/>
      <c r="C116" s="102">
        <f t="shared" si="56"/>
        <v>11600</v>
      </c>
      <c r="D116" s="56"/>
      <c r="I116" s="58">
        <v>5300</v>
      </c>
      <c r="U116" s="58">
        <v>0</v>
      </c>
      <c r="X116" s="58">
        <v>2000</v>
      </c>
      <c r="AA116" s="58">
        <v>4300</v>
      </c>
    </row>
    <row r="117" spans="1:27" s="58" customFormat="1" x14ac:dyDescent="0.2">
      <c r="A117" s="15" t="s">
        <v>143</v>
      </c>
      <c r="B117" s="131"/>
      <c r="C117" s="102">
        <f t="shared" si="56"/>
        <v>0</v>
      </c>
      <c r="D117" s="56"/>
    </row>
    <row r="118" spans="1:27" s="58" customFormat="1" x14ac:dyDescent="0.2">
      <c r="A118" s="15" t="s">
        <v>140</v>
      </c>
      <c r="B118" s="131"/>
      <c r="C118" s="102">
        <f t="shared" si="56"/>
        <v>0</v>
      </c>
      <c r="D118" s="56"/>
    </row>
    <row r="119" spans="1:27" s="58" customFormat="1" x14ac:dyDescent="0.2">
      <c r="A119" s="15" t="s">
        <v>137</v>
      </c>
      <c r="B119" s="131"/>
      <c r="C119" s="102">
        <f t="shared" si="56"/>
        <v>21633</v>
      </c>
      <c r="D119" s="56"/>
      <c r="O119" s="58">
        <v>21633</v>
      </c>
    </row>
    <row r="120" spans="1:27" s="58" customFormat="1" x14ac:dyDescent="0.2">
      <c r="A120" s="15" t="s">
        <v>138</v>
      </c>
      <c r="B120" s="131"/>
      <c r="C120" s="102">
        <f t="shared" si="56"/>
        <v>91793</v>
      </c>
      <c r="D120" s="56"/>
      <c r="O120" s="58">
        <v>91793</v>
      </c>
    </row>
    <row r="121" spans="1:27" s="58" customFormat="1" x14ac:dyDescent="0.2">
      <c r="A121" s="15" t="s">
        <v>144</v>
      </c>
      <c r="B121" s="131"/>
      <c r="C121" s="102">
        <f t="shared" si="56"/>
        <v>0</v>
      </c>
      <c r="D121" s="56"/>
    </row>
    <row r="122" spans="1:27" s="58" customFormat="1" x14ac:dyDescent="0.2">
      <c r="A122" s="15" t="s">
        <v>139</v>
      </c>
      <c r="B122" s="2"/>
      <c r="C122" s="102">
        <f t="shared" si="56"/>
        <v>0</v>
      </c>
      <c r="D122" s="57"/>
    </row>
    <row r="123" spans="1:27" s="58" customFormat="1" x14ac:dyDescent="0.2">
      <c r="A123" s="15" t="s">
        <v>141</v>
      </c>
      <c r="B123" s="2"/>
      <c r="C123" s="102">
        <f t="shared" si="56"/>
        <v>15111</v>
      </c>
      <c r="D123" s="57"/>
      <c r="F123" s="58">
        <f>14726+385</f>
        <v>15111</v>
      </c>
    </row>
    <row r="124" spans="1:27" s="58" customFormat="1" x14ac:dyDescent="0.2">
      <c r="A124" s="3"/>
      <c r="B124" s="2"/>
      <c r="C124" s="103"/>
      <c r="D124" s="57"/>
      <c r="F124" s="58" t="s">
        <v>173</v>
      </c>
    </row>
    <row r="125" spans="1:27" s="58" customFormat="1" x14ac:dyDescent="0.2">
      <c r="A125" s="3" t="s">
        <v>142</v>
      </c>
      <c r="B125" s="2"/>
      <c r="C125" s="103">
        <f>SUM(C109:C124)</f>
        <v>510080</v>
      </c>
      <c r="D125" s="57"/>
    </row>
    <row r="126" spans="1:27" s="58" customFormat="1" x14ac:dyDescent="0.2">
      <c r="A126" s="3"/>
      <c r="B126" s="2"/>
      <c r="C126" s="2"/>
      <c r="D126" s="57"/>
    </row>
    <row r="127" spans="1:27" s="58" customFormat="1" x14ac:dyDescent="0.2">
      <c r="A127" s="3"/>
      <c r="B127" s="2"/>
      <c r="C127" s="2"/>
      <c r="D127" s="57"/>
    </row>
    <row r="128" spans="1:27" s="58" customFormat="1" x14ac:dyDescent="0.2">
      <c r="A128" s="3"/>
      <c r="B128" s="2"/>
      <c r="C128" s="2"/>
      <c r="D128" s="57"/>
    </row>
    <row r="129" spans="1:27" s="58" customFormat="1" x14ac:dyDescent="0.2">
      <c r="A129" s="3" t="s">
        <v>155</v>
      </c>
      <c r="B129" s="2"/>
      <c r="C129" s="102">
        <f>F129+I129+L129+O129+R129+U129+X129+AA129+AD129+AG129+AJ129+AM129</f>
        <v>0</v>
      </c>
      <c r="D129" s="57"/>
    </row>
    <row r="130" spans="1:27" s="58" customFormat="1" x14ac:dyDescent="0.2">
      <c r="A130" s="3"/>
      <c r="B130" s="2"/>
      <c r="C130" s="2"/>
      <c r="D130" s="57"/>
      <c r="F130" s="127"/>
      <c r="I130" s="127">
        <f>I27-I109-I110-I111-I112-I113-I114-I115-I116-I117-I118-I119-I120-I121-I122-I123-I124-I125-I126-I127</f>
        <v>-39641</v>
      </c>
      <c r="L130" s="127">
        <f>L27-L109-L110-L111-L112-L113-L114-L115-L116-L117-L118-L119-L120-L121-L122-L123-L124-L125-L126-L127</f>
        <v>2160</v>
      </c>
      <c r="O130" s="127">
        <f>O27-O109-O110-O111-O112-O113-O114-O115-O116-O117-O118-O119-O120-O121-O122-O123-O124-O125-O126-O127</f>
        <v>98793</v>
      </c>
      <c r="R130" s="127">
        <f>R27-R109-R110-R111-R112-R113-R114-R115-R116-R117-R118-R119-R120-R121-R122-R123-R124-R125-R126-R127</f>
        <v>-11612</v>
      </c>
      <c r="U130" s="127">
        <f>U27-U109-U110-U111-U112-U113-U114-U115-U116-U117-U118-U119-U120-U121-U122-U123-U124-U125-U126-U127</f>
        <v>0</v>
      </c>
      <c r="X130" s="127">
        <f>X27-X109-X110-X111-X112-X113-X114-X115-X116-X117-X118-X119-X120-X121-X122-X123-X124-X125-X126-X127</f>
        <v>7300</v>
      </c>
      <c r="AA130" s="127">
        <f>AA27-AA109-AA110-AA111-AA112-AA113-AA114-AA115-AA116-AA117-AA118-AA119-AA120-AA121-AA122-AA123-AA124-AA125-AA126-AA127</f>
        <v>-3500</v>
      </c>
    </row>
    <row r="131" spans="1:27" s="58" customFormat="1" x14ac:dyDescent="0.2">
      <c r="A131" s="3"/>
      <c r="B131" s="2"/>
      <c r="C131" s="2"/>
      <c r="D131" s="57"/>
    </row>
    <row r="132" spans="1:27" s="58" customFormat="1" x14ac:dyDescent="0.2">
      <c r="A132" s="3"/>
      <c r="B132" s="2"/>
      <c r="C132" s="2"/>
      <c r="D132" s="57"/>
    </row>
    <row r="133" spans="1:27" s="58" customFormat="1" x14ac:dyDescent="0.2">
      <c r="A133" s="3"/>
      <c r="B133" s="2"/>
      <c r="C133" s="2"/>
      <c r="D133" s="57"/>
    </row>
    <row r="134" spans="1:27" s="58" customFormat="1" x14ac:dyDescent="0.2">
      <c r="A134" s="3"/>
      <c r="B134" s="2"/>
      <c r="C134" s="2"/>
      <c r="D134" s="57"/>
    </row>
    <row r="135" spans="1:27" s="58" customFormat="1" x14ac:dyDescent="0.2">
      <c r="A135" s="3"/>
      <c r="B135" s="2"/>
      <c r="C135" s="2"/>
      <c r="D135" s="57"/>
    </row>
    <row r="136" spans="1:27" s="58" customFormat="1" x14ac:dyDescent="0.2">
      <c r="A136" s="3"/>
      <c r="B136" s="2"/>
      <c r="C136" s="2"/>
      <c r="D136" s="57"/>
    </row>
    <row r="137" spans="1:27" s="58" customFormat="1" x14ac:dyDescent="0.2">
      <c r="A137" s="3"/>
      <c r="B137" s="2"/>
      <c r="C137" s="2"/>
      <c r="D137" s="2"/>
    </row>
    <row r="138" spans="1:27" s="58" customFormat="1" x14ac:dyDescent="0.2">
      <c r="A138" s="3"/>
      <c r="B138" s="2"/>
      <c r="C138" s="2"/>
      <c r="D138" s="2"/>
    </row>
    <row r="139" spans="1:27" s="58" customFormat="1" x14ac:dyDescent="0.2">
      <c r="A139" s="3"/>
      <c r="B139" s="2"/>
      <c r="C139" s="2"/>
      <c r="D139" s="2"/>
    </row>
    <row r="140" spans="1:27" s="58" customFormat="1" x14ac:dyDescent="0.2">
      <c r="A140" s="3"/>
      <c r="B140" s="2"/>
      <c r="C140" s="2"/>
      <c r="D140" s="2"/>
    </row>
    <row r="141" spans="1:27" s="58" customFormat="1" x14ac:dyDescent="0.2">
      <c r="A141" s="3"/>
      <c r="B141" s="2"/>
      <c r="C141" s="2"/>
      <c r="D141" s="2"/>
    </row>
    <row r="142" spans="1:27" s="58" customFormat="1" x14ac:dyDescent="0.2">
      <c r="A142" s="3"/>
      <c r="B142" s="2"/>
      <c r="C142" s="2"/>
      <c r="D142" s="2"/>
    </row>
    <row r="143" spans="1:27" s="58" customFormat="1" x14ac:dyDescent="0.2">
      <c r="A143" s="3"/>
      <c r="B143" s="2"/>
      <c r="C143" s="2"/>
      <c r="D143" s="2"/>
    </row>
    <row r="144" spans="1:27" s="58" customFormat="1" x14ac:dyDescent="0.2">
      <c r="A144" s="3"/>
      <c r="B144" s="2"/>
      <c r="C144" s="2"/>
      <c r="D144" s="2"/>
    </row>
    <row r="145" spans="2:4" s="58" customFormat="1" x14ac:dyDescent="0.2">
      <c r="B145" s="2"/>
      <c r="C145" s="2"/>
      <c r="D145" s="2"/>
    </row>
    <row r="146" spans="2:4" s="58" customFormat="1" x14ac:dyDescent="0.2">
      <c r="B146" s="2"/>
      <c r="C146" s="2"/>
      <c r="D146" s="2"/>
    </row>
    <row r="147" spans="2:4" s="58" customFormat="1" x14ac:dyDescent="0.2">
      <c r="B147" s="2"/>
      <c r="C147" s="2"/>
      <c r="D147" s="2"/>
    </row>
    <row r="148" spans="2:4" s="58" customFormat="1" x14ac:dyDescent="0.2">
      <c r="B148" s="2"/>
      <c r="C148" s="2"/>
      <c r="D148" s="2"/>
    </row>
    <row r="149" spans="2:4" s="58" customFormat="1" x14ac:dyDescent="0.2">
      <c r="B149" s="2"/>
      <c r="C149" s="2"/>
      <c r="D149" s="2"/>
    </row>
    <row r="150" spans="2:4" s="58" customFormat="1" x14ac:dyDescent="0.2">
      <c r="B150" s="2"/>
      <c r="C150" s="2"/>
      <c r="D150" s="2"/>
    </row>
    <row r="151" spans="2:4" s="58" customFormat="1" x14ac:dyDescent="0.2">
      <c r="B151" s="2"/>
      <c r="C151" s="2"/>
      <c r="D151" s="2"/>
    </row>
    <row r="152" spans="2:4" s="58" customFormat="1" x14ac:dyDescent="0.2">
      <c r="B152" s="2"/>
      <c r="C152" s="2"/>
      <c r="D152" s="2"/>
    </row>
    <row r="153" spans="2:4" s="58" customFormat="1" x14ac:dyDescent="0.2">
      <c r="B153" s="2"/>
      <c r="C153" s="2"/>
      <c r="D153" s="2"/>
    </row>
    <row r="154" spans="2:4" s="58" customFormat="1" x14ac:dyDescent="0.2">
      <c r="B154" s="2"/>
      <c r="C154" s="2"/>
      <c r="D154" s="2"/>
    </row>
    <row r="155" spans="2:4" s="58" customFormat="1" x14ac:dyDescent="0.2">
      <c r="B155" s="2"/>
      <c r="C155" s="2"/>
      <c r="D155" s="2"/>
    </row>
    <row r="156" spans="2:4" s="58" customFormat="1" x14ac:dyDescent="0.2">
      <c r="B156" s="2"/>
      <c r="C156" s="2"/>
      <c r="D156" s="2"/>
    </row>
    <row r="157" spans="2:4" s="58" customFormat="1" x14ac:dyDescent="0.2">
      <c r="B157" s="2"/>
      <c r="C157" s="2"/>
      <c r="D157" s="2"/>
    </row>
    <row r="158" spans="2:4" s="58" customFormat="1" x14ac:dyDescent="0.2">
      <c r="B158" s="2"/>
      <c r="C158" s="2"/>
      <c r="D158" s="2"/>
    </row>
    <row r="159" spans="2:4" s="58" customFormat="1" x14ac:dyDescent="0.2">
      <c r="B159" s="2"/>
      <c r="C159" s="2"/>
      <c r="D159" s="2"/>
    </row>
    <row r="160" spans="2:4" s="58" customFormat="1" x14ac:dyDescent="0.2">
      <c r="B160" s="2"/>
      <c r="C160" s="2"/>
      <c r="D160" s="2"/>
    </row>
    <row r="161" spans="2:4" s="58" customFormat="1" x14ac:dyDescent="0.2">
      <c r="B161" s="2"/>
      <c r="C161" s="2"/>
      <c r="D161" s="2"/>
    </row>
    <row r="162" spans="2:4" s="58" customFormat="1" x14ac:dyDescent="0.2">
      <c r="B162" s="2"/>
      <c r="C162" s="2"/>
      <c r="D162" s="2"/>
    </row>
    <row r="163" spans="2:4" s="58" customFormat="1" x14ac:dyDescent="0.2">
      <c r="B163" s="2"/>
      <c r="C163" s="2"/>
      <c r="D163" s="2"/>
    </row>
    <row r="164" spans="2:4" s="58" customFormat="1" x14ac:dyDescent="0.2">
      <c r="B164" s="2"/>
      <c r="C164" s="2"/>
      <c r="D164" s="2"/>
    </row>
  </sheetData>
  <mergeCells count="12">
    <mergeCell ref="AM3:AO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</mergeCells>
  <printOptions horizontalCentered="1"/>
  <pageMargins left="0.19685039370078741" right="3.937007874015748E-2" top="0.19685039370078741" bottom="0.19685039370078741" header="0" footer="0"/>
  <pageSetup paperSize="9" scale="35" firstPageNumber="2" orientation="landscape" cellComments="asDisplayed" r:id="rId1"/>
  <headerFooter alignWithMargins="0"/>
  <colBreaks count="2" manualBreakCount="2">
    <brk id="14" max="100" man="1"/>
    <brk id="29" max="100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A164"/>
  <sheetViews>
    <sheetView topLeftCell="A2" workbookViewId="0">
      <selection activeCell="F18" sqref="F18"/>
    </sheetView>
  </sheetViews>
  <sheetFormatPr baseColWidth="10" defaultColWidth="12.42578125" defaultRowHeight="15" x14ac:dyDescent="0.2"/>
  <cols>
    <col min="1" max="1" width="44.7109375" style="3" customWidth="1"/>
    <col min="2" max="2" width="9" style="3" hidden="1" customWidth="1"/>
    <col min="3" max="3" width="16.28515625" style="3" customWidth="1"/>
    <col min="4" max="4" width="16.28515625" style="3" hidden="1" customWidth="1"/>
    <col min="5" max="5" width="12.42578125" style="3" customWidth="1"/>
    <col min="6" max="6" width="14.85546875" style="3" customWidth="1"/>
    <col min="7" max="7" width="15.85546875" style="3" customWidth="1"/>
    <col min="8" max="8" width="14.85546875" style="3" customWidth="1"/>
    <col min="9" max="9" width="15.5703125" style="3" bestFit="1" customWidth="1"/>
    <col min="10" max="10" width="15.85546875" style="3" customWidth="1"/>
    <col min="11" max="11" width="14" style="3" bestFit="1" customWidth="1"/>
    <col min="12" max="12" width="14.85546875" style="3" customWidth="1"/>
    <col min="13" max="13" width="10.85546875" style="3" bestFit="1" customWidth="1"/>
    <col min="14" max="15" width="14.85546875" style="3" customWidth="1"/>
    <col min="16" max="16" width="13" style="3" customWidth="1"/>
    <col min="17" max="17" width="14.85546875" style="3" customWidth="1"/>
    <col min="18" max="20" width="13.42578125" style="3" customWidth="1"/>
    <col min="21" max="21" width="13.42578125" style="3" bestFit="1" customWidth="1"/>
    <col min="22" max="22" width="10.85546875" style="3" bestFit="1" customWidth="1"/>
    <col min="23" max="23" width="13.42578125" style="3" bestFit="1" customWidth="1"/>
    <col min="24" max="24" width="12.5703125" style="3" bestFit="1" customWidth="1"/>
    <col min="25" max="25" width="10.85546875" style="3" bestFit="1" customWidth="1"/>
    <col min="26" max="26" width="12.5703125" style="3" bestFit="1" customWidth="1"/>
    <col min="27" max="27" width="11.5703125" style="3" bestFit="1" customWidth="1"/>
    <col min="28" max="28" width="10.85546875" style="3" bestFit="1" customWidth="1"/>
    <col min="29" max="29" width="16" style="3" customWidth="1"/>
    <col min="30" max="41" width="9" style="3" hidden="1" customWidth="1"/>
    <col min="42" max="43" width="33" style="3" customWidth="1"/>
    <col min="44" max="235" width="12.42578125" style="3" customWidth="1"/>
    <col min="236" max="16384" width="12.42578125" style="58"/>
  </cols>
  <sheetData>
    <row r="1" spans="1:41" s="58" customFormat="1" ht="30" x14ac:dyDescent="0.4">
      <c r="A1" s="1" t="s">
        <v>39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s="58" customFormat="1" x14ac:dyDescent="0.2">
      <c r="A2" s="3"/>
      <c r="B2" s="2"/>
      <c r="C2" s="2"/>
      <c r="D2" s="2"/>
      <c r="E2" s="3"/>
      <c r="F2" s="3"/>
      <c r="G2" s="3"/>
      <c r="H2" s="3"/>
      <c r="I2" s="3"/>
      <c r="J2" s="123"/>
      <c r="K2" s="3"/>
      <c r="L2" s="3"/>
      <c r="M2" s="3"/>
      <c r="N2" s="3"/>
      <c r="O2" s="3"/>
      <c r="P2" s="123"/>
      <c r="Q2" s="3"/>
      <c r="R2" s="3"/>
      <c r="S2" s="12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s="58" customFormat="1" x14ac:dyDescent="0.2">
      <c r="A3" s="4" t="s">
        <v>0</v>
      </c>
      <c r="B3" s="126"/>
      <c r="C3" s="126"/>
      <c r="D3" s="126"/>
      <c r="E3" s="3"/>
      <c r="F3" s="162" t="s">
        <v>41</v>
      </c>
      <c r="G3" s="162"/>
      <c r="H3" s="162"/>
      <c r="I3" s="163" t="s">
        <v>45</v>
      </c>
      <c r="J3" s="163"/>
      <c r="K3" s="163"/>
      <c r="L3" s="162" t="s">
        <v>46</v>
      </c>
      <c r="M3" s="162"/>
      <c r="N3" s="162"/>
      <c r="O3" s="163" t="s">
        <v>43</v>
      </c>
      <c r="P3" s="163"/>
      <c r="Q3" s="163"/>
      <c r="R3" s="162" t="s">
        <v>44</v>
      </c>
      <c r="S3" s="162"/>
      <c r="T3" s="162"/>
      <c r="U3" s="163" t="s">
        <v>51</v>
      </c>
      <c r="V3" s="163"/>
      <c r="W3" s="163"/>
      <c r="X3" s="162" t="s">
        <v>161</v>
      </c>
      <c r="Y3" s="162"/>
      <c r="Z3" s="162"/>
      <c r="AA3" s="163" t="s">
        <v>48</v>
      </c>
      <c r="AB3" s="163"/>
      <c r="AC3" s="163"/>
      <c r="AD3" s="162"/>
      <c r="AE3" s="162"/>
      <c r="AF3" s="162"/>
      <c r="AG3" s="163"/>
      <c r="AH3" s="163"/>
      <c r="AI3" s="163"/>
      <c r="AJ3" s="162"/>
      <c r="AK3" s="162"/>
      <c r="AL3" s="162"/>
      <c r="AM3" s="163"/>
      <c r="AN3" s="163"/>
      <c r="AO3" s="163"/>
    </row>
    <row r="4" spans="1:41" s="58" customFormat="1" x14ac:dyDescent="0.2">
      <c r="A4" s="6" t="s">
        <v>1</v>
      </c>
      <c r="B4" s="126"/>
      <c r="C4" s="7">
        <v>2013</v>
      </c>
      <c r="D4" s="8" t="s">
        <v>2</v>
      </c>
      <c r="E4" s="3"/>
      <c r="F4" s="62">
        <f>$C$4</f>
        <v>2013</v>
      </c>
      <c r="G4" s="63" t="s">
        <v>38</v>
      </c>
      <c r="H4" s="63" t="s">
        <v>40</v>
      </c>
      <c r="I4" s="61">
        <f>$C$4</f>
        <v>2013</v>
      </c>
      <c r="J4" s="60" t="s">
        <v>38</v>
      </c>
      <c r="K4" s="60" t="s">
        <v>40</v>
      </c>
      <c r="L4" s="62">
        <f>$C$4</f>
        <v>2013</v>
      </c>
      <c r="M4" s="63" t="s">
        <v>38</v>
      </c>
      <c r="N4" s="63" t="s">
        <v>40</v>
      </c>
      <c r="O4" s="61">
        <f>$C$4</f>
        <v>2013</v>
      </c>
      <c r="P4" s="60" t="s">
        <v>38</v>
      </c>
      <c r="Q4" s="60" t="s">
        <v>40</v>
      </c>
      <c r="R4" s="62">
        <f>$C$4</f>
        <v>2013</v>
      </c>
      <c r="S4" s="63" t="s">
        <v>38</v>
      </c>
      <c r="T4" s="63" t="s">
        <v>40</v>
      </c>
      <c r="U4" s="61">
        <f>$C$4</f>
        <v>2013</v>
      </c>
      <c r="V4" s="60" t="s">
        <v>38</v>
      </c>
      <c r="W4" s="60" t="s">
        <v>40</v>
      </c>
      <c r="X4" s="62">
        <f>$C$4</f>
        <v>2013</v>
      </c>
      <c r="Y4" s="63" t="s">
        <v>38</v>
      </c>
      <c r="Z4" s="63" t="s">
        <v>40</v>
      </c>
      <c r="AA4" s="61">
        <f>$C$4</f>
        <v>2013</v>
      </c>
      <c r="AB4" s="60" t="s">
        <v>38</v>
      </c>
      <c r="AC4" s="60" t="s">
        <v>40</v>
      </c>
      <c r="AD4" s="62"/>
      <c r="AE4" s="63" t="s">
        <v>38</v>
      </c>
      <c r="AF4" s="63" t="s">
        <v>40</v>
      </c>
      <c r="AG4" s="61"/>
      <c r="AH4" s="60" t="s">
        <v>38</v>
      </c>
      <c r="AI4" s="60" t="s">
        <v>40</v>
      </c>
      <c r="AJ4" s="62"/>
      <c r="AK4" s="63" t="s">
        <v>38</v>
      </c>
      <c r="AL4" s="63" t="s">
        <v>40</v>
      </c>
      <c r="AM4" s="61"/>
      <c r="AN4" s="60" t="s">
        <v>38</v>
      </c>
      <c r="AO4" s="60" t="s">
        <v>40</v>
      </c>
    </row>
    <row r="5" spans="1:41" s="58" customFormat="1" ht="15.75" x14ac:dyDescent="0.25">
      <c r="A5" s="9" t="s">
        <v>3</v>
      </c>
      <c r="B5" s="10" t="s">
        <v>4</v>
      </c>
      <c r="C5" s="11"/>
      <c r="D5" s="11" t="s">
        <v>2</v>
      </c>
      <c r="E5" s="3"/>
      <c r="F5" s="65"/>
      <c r="G5" s="65"/>
      <c r="H5" s="65"/>
      <c r="I5" s="66"/>
      <c r="J5" s="66"/>
      <c r="K5" s="66"/>
      <c r="L5" s="65"/>
      <c r="M5" s="65"/>
      <c r="N5" s="65"/>
      <c r="O5" s="66"/>
      <c r="P5" s="66"/>
      <c r="Q5" s="66"/>
      <c r="R5" s="65"/>
      <c r="S5" s="65"/>
      <c r="T5" s="65"/>
      <c r="U5" s="66"/>
      <c r="V5" s="66"/>
      <c r="W5" s="66"/>
      <c r="X5" s="65"/>
      <c r="Y5" s="65"/>
      <c r="Z5" s="65"/>
      <c r="AA5" s="66"/>
      <c r="AB5" s="66"/>
      <c r="AC5" s="66"/>
      <c r="AD5" s="65"/>
      <c r="AE5" s="65"/>
      <c r="AF5" s="65"/>
      <c r="AG5" s="66"/>
      <c r="AH5" s="66"/>
      <c r="AI5" s="66"/>
      <c r="AJ5" s="65"/>
      <c r="AK5" s="65"/>
      <c r="AL5" s="65"/>
      <c r="AM5" s="66"/>
      <c r="AN5" s="66"/>
      <c r="AO5" s="66"/>
    </row>
    <row r="6" spans="1:41" s="58" customFormat="1" x14ac:dyDescent="0.2">
      <c r="A6" s="12"/>
      <c r="B6" s="13"/>
      <c r="C6" s="12"/>
      <c r="D6" s="12"/>
      <c r="E6" s="3"/>
      <c r="F6" s="65"/>
      <c r="G6" s="65"/>
      <c r="H6" s="65"/>
      <c r="I6" s="66"/>
      <c r="J6" s="66"/>
      <c r="K6" s="66"/>
      <c r="L6" s="65"/>
      <c r="M6" s="65"/>
      <c r="N6" s="65"/>
      <c r="O6" s="66"/>
      <c r="P6" s="66"/>
      <c r="Q6" s="66"/>
      <c r="R6" s="65"/>
      <c r="S6" s="65"/>
      <c r="T6" s="65"/>
      <c r="U6" s="66"/>
      <c r="V6" s="66"/>
      <c r="W6" s="66"/>
      <c r="X6" s="65"/>
      <c r="Y6" s="65"/>
      <c r="Z6" s="65"/>
      <c r="AA6" s="66"/>
      <c r="AB6" s="66"/>
      <c r="AC6" s="66"/>
      <c r="AD6" s="65"/>
      <c r="AE6" s="65"/>
      <c r="AF6" s="65"/>
      <c r="AG6" s="66"/>
      <c r="AH6" s="66"/>
      <c r="AI6" s="66"/>
      <c r="AJ6" s="65"/>
      <c r="AK6" s="65"/>
      <c r="AL6" s="65"/>
      <c r="AM6" s="66"/>
      <c r="AN6" s="66"/>
      <c r="AO6" s="66"/>
    </row>
    <row r="7" spans="1:41" s="58" customFormat="1" x14ac:dyDescent="0.2">
      <c r="A7" s="64" t="s">
        <v>82</v>
      </c>
      <c r="B7" s="13"/>
      <c r="C7" s="14">
        <f>H7+K7+N7+Q7+T7+W7+Z7+AC7+AF7+AI7+AL7</f>
        <v>638906</v>
      </c>
      <c r="D7" s="14">
        <v>60000</v>
      </c>
      <c r="E7" s="3"/>
      <c r="F7" s="65">
        <v>229760</v>
      </c>
      <c r="G7" s="65"/>
      <c r="H7" s="65">
        <f t="shared" ref="H7:H41" si="0">F7+G7</f>
        <v>229760</v>
      </c>
      <c r="I7" s="66">
        <v>159771</v>
      </c>
      <c r="J7" s="66"/>
      <c r="K7" s="66">
        <f t="shared" ref="K7:K41" si="1">I7+J7</f>
        <v>159771</v>
      </c>
      <c r="L7" s="65">
        <v>667</v>
      </c>
      <c r="M7" s="65"/>
      <c r="N7" s="65">
        <f t="shared" ref="N7:N41" si="2">L7+M7</f>
        <v>667</v>
      </c>
      <c r="O7" s="66">
        <v>121348</v>
      </c>
      <c r="P7" s="66"/>
      <c r="Q7" s="66">
        <f t="shared" ref="Q7:Q41" si="3">O7+P7</f>
        <v>121348</v>
      </c>
      <c r="R7" s="65">
        <v>127360</v>
      </c>
      <c r="S7" s="65"/>
      <c r="T7" s="65">
        <f t="shared" ref="T7:T41" si="4">R7+S7</f>
        <v>127360</v>
      </c>
      <c r="U7" s="66"/>
      <c r="V7" s="66"/>
      <c r="W7" s="66">
        <f t="shared" ref="W7:W41" si="5">U7+V7</f>
        <v>0</v>
      </c>
      <c r="X7" s="65"/>
      <c r="Y7" s="65"/>
      <c r="Z7" s="65">
        <f t="shared" ref="Z7:Z41" si="6">X7+Y7</f>
        <v>0</v>
      </c>
      <c r="AA7" s="66"/>
      <c r="AB7" s="66"/>
      <c r="AC7" s="66">
        <f t="shared" ref="AC7:AC41" si="7">AA7+AB7</f>
        <v>0</v>
      </c>
      <c r="AD7" s="65"/>
      <c r="AE7" s="65"/>
      <c r="AF7" s="65">
        <f t="shared" ref="AF7:AF41" si="8">AD7+AE7</f>
        <v>0</v>
      </c>
      <c r="AG7" s="66"/>
      <c r="AH7" s="66"/>
      <c r="AI7" s="66">
        <f t="shared" ref="AI7:AI41" si="9">AG7+AH7</f>
        <v>0</v>
      </c>
      <c r="AJ7" s="65"/>
      <c r="AK7" s="65"/>
      <c r="AL7" s="65">
        <f t="shared" ref="AL7:AL41" si="10">AJ7+AK7</f>
        <v>0</v>
      </c>
      <c r="AM7" s="66"/>
      <c r="AN7" s="66"/>
      <c r="AO7" s="66">
        <f t="shared" ref="AO7" si="11">AM7+AN7</f>
        <v>0</v>
      </c>
    </row>
    <row r="8" spans="1:41" s="58" customFormat="1" x14ac:dyDescent="0.2">
      <c r="A8" s="64" t="s">
        <v>96</v>
      </c>
      <c r="B8" s="13"/>
      <c r="C8" s="14">
        <f t="shared" ref="C8:C10" si="12">H8+K8+N8+Q8+T8+W8+Z8+AC8+AF8+AI8+AL8</f>
        <v>145845</v>
      </c>
      <c r="D8" s="14"/>
      <c r="E8" s="3"/>
      <c r="F8" s="65"/>
      <c r="G8" s="65"/>
      <c r="H8" s="65">
        <f t="shared" si="0"/>
        <v>0</v>
      </c>
      <c r="I8" s="66">
        <v>64575</v>
      </c>
      <c r="J8" s="66"/>
      <c r="K8" s="66">
        <f t="shared" si="1"/>
        <v>64575</v>
      </c>
      <c r="L8" s="65">
        <v>0</v>
      </c>
      <c r="M8" s="65"/>
      <c r="N8" s="65">
        <f>L8+M8</f>
        <v>0</v>
      </c>
      <c r="O8" s="66">
        <v>26175</v>
      </c>
      <c r="P8" s="66"/>
      <c r="Q8" s="66">
        <f t="shared" si="3"/>
        <v>26175</v>
      </c>
      <c r="R8" s="65">
        <v>55095</v>
      </c>
      <c r="S8" s="65"/>
      <c r="T8" s="65">
        <f t="shared" si="4"/>
        <v>55095</v>
      </c>
      <c r="U8" s="66"/>
      <c r="V8" s="66"/>
      <c r="W8" s="66">
        <f t="shared" si="5"/>
        <v>0</v>
      </c>
      <c r="X8" s="65"/>
      <c r="Y8" s="65"/>
      <c r="Z8" s="65">
        <f t="shared" si="6"/>
        <v>0</v>
      </c>
      <c r="AA8" s="66"/>
      <c r="AB8" s="66"/>
      <c r="AC8" s="66">
        <f t="shared" si="7"/>
        <v>0</v>
      </c>
      <c r="AD8" s="65"/>
      <c r="AE8" s="65"/>
      <c r="AF8" s="65"/>
      <c r="AG8" s="66"/>
      <c r="AH8" s="66"/>
      <c r="AI8" s="66"/>
      <c r="AJ8" s="65"/>
      <c r="AK8" s="65"/>
      <c r="AL8" s="65"/>
      <c r="AM8" s="66"/>
      <c r="AN8" s="66"/>
      <c r="AO8" s="66"/>
    </row>
    <row r="9" spans="1:41" s="58" customFormat="1" x14ac:dyDescent="0.2">
      <c r="A9" s="64" t="s">
        <v>84</v>
      </c>
      <c r="B9" s="13"/>
      <c r="C9" s="14">
        <f t="shared" si="12"/>
        <v>78960</v>
      </c>
      <c r="D9" s="14"/>
      <c r="E9" s="3"/>
      <c r="F9" s="65"/>
      <c r="G9" s="65"/>
      <c r="H9" s="65">
        <f t="shared" si="0"/>
        <v>0</v>
      </c>
      <c r="I9" s="66">
        <v>76710</v>
      </c>
      <c r="J9" s="66"/>
      <c r="K9" s="66">
        <f t="shared" si="1"/>
        <v>76710</v>
      </c>
      <c r="L9" s="65">
        <v>0</v>
      </c>
      <c r="M9" s="65"/>
      <c r="N9" s="65">
        <f>L9+M9</f>
        <v>0</v>
      </c>
      <c r="O9" s="66">
        <v>0</v>
      </c>
      <c r="P9" s="66"/>
      <c r="Q9" s="66">
        <f t="shared" si="3"/>
        <v>0</v>
      </c>
      <c r="R9" s="65">
        <v>0</v>
      </c>
      <c r="S9" s="65"/>
      <c r="T9" s="65">
        <f t="shared" si="4"/>
        <v>0</v>
      </c>
      <c r="U9" s="66"/>
      <c r="V9" s="66"/>
      <c r="W9" s="66">
        <f t="shared" si="5"/>
        <v>0</v>
      </c>
      <c r="X9" s="65"/>
      <c r="Y9" s="65"/>
      <c r="Z9" s="65">
        <f t="shared" si="6"/>
        <v>0</v>
      </c>
      <c r="AA9" s="66">
        <v>2250</v>
      </c>
      <c r="AB9" s="66"/>
      <c r="AC9" s="66">
        <f t="shared" si="7"/>
        <v>2250</v>
      </c>
      <c r="AD9" s="65"/>
      <c r="AE9" s="65"/>
      <c r="AF9" s="65"/>
      <c r="AG9" s="66"/>
      <c r="AH9" s="66"/>
      <c r="AI9" s="66"/>
      <c r="AJ9" s="65"/>
      <c r="AK9" s="65"/>
      <c r="AL9" s="65"/>
      <c r="AM9" s="66"/>
      <c r="AN9" s="66"/>
      <c r="AO9" s="66"/>
    </row>
    <row r="10" spans="1:41" s="58" customFormat="1" x14ac:dyDescent="0.2">
      <c r="A10" s="64" t="s">
        <v>86</v>
      </c>
      <c r="B10" s="13"/>
      <c r="C10" s="14">
        <f t="shared" si="12"/>
        <v>927650</v>
      </c>
      <c r="D10" s="14"/>
      <c r="E10" s="3"/>
      <c r="F10" s="65"/>
      <c r="G10" s="65"/>
      <c r="H10" s="65">
        <f t="shared" si="0"/>
        <v>0</v>
      </c>
      <c r="I10" s="66">
        <v>33100</v>
      </c>
      <c r="J10" s="66"/>
      <c r="K10" s="66">
        <f t="shared" si="1"/>
        <v>33100</v>
      </c>
      <c r="L10" s="65">
        <v>3200</v>
      </c>
      <c r="M10" s="65"/>
      <c r="N10" s="65">
        <f>L10+M10</f>
        <v>3200</v>
      </c>
      <c r="O10" s="66">
        <v>0</v>
      </c>
      <c r="P10" s="66"/>
      <c r="Q10" s="66">
        <f t="shared" si="3"/>
        <v>0</v>
      </c>
      <c r="R10" s="65">
        <v>891350</v>
      </c>
      <c r="S10" s="65"/>
      <c r="T10" s="65">
        <f t="shared" si="4"/>
        <v>891350</v>
      </c>
      <c r="U10" s="66"/>
      <c r="V10" s="66"/>
      <c r="W10" s="66">
        <f t="shared" si="5"/>
        <v>0</v>
      </c>
      <c r="X10" s="65"/>
      <c r="Y10" s="65"/>
      <c r="Z10" s="65">
        <f t="shared" si="6"/>
        <v>0</v>
      </c>
      <c r="AA10" s="66"/>
      <c r="AB10" s="66"/>
      <c r="AC10" s="66">
        <f t="shared" si="7"/>
        <v>0</v>
      </c>
      <c r="AD10" s="65"/>
      <c r="AE10" s="65"/>
      <c r="AF10" s="65"/>
      <c r="AG10" s="66"/>
      <c r="AH10" s="66"/>
      <c r="AI10" s="66"/>
      <c r="AJ10" s="65"/>
      <c r="AK10" s="65"/>
      <c r="AL10" s="65"/>
      <c r="AM10" s="66"/>
      <c r="AN10" s="66"/>
      <c r="AO10" s="66"/>
    </row>
    <row r="11" spans="1:41" s="58" customFormat="1" x14ac:dyDescent="0.2">
      <c r="A11" s="64" t="s">
        <v>88</v>
      </c>
      <c r="B11" s="13"/>
      <c r="C11" s="14">
        <f t="shared" ref="C11:C21" si="13">H11+K11+N11+Q11+T11+W11+Z11+AC11+AF11+AI11+AL11+AO11</f>
        <v>111800</v>
      </c>
      <c r="D11" s="14"/>
      <c r="E11" s="3"/>
      <c r="F11" s="65">
        <v>111800</v>
      </c>
      <c r="G11" s="65"/>
      <c r="H11" s="65">
        <f t="shared" si="0"/>
        <v>111800</v>
      </c>
      <c r="I11" s="66">
        <v>0</v>
      </c>
      <c r="J11" s="66"/>
      <c r="K11" s="66">
        <f t="shared" si="1"/>
        <v>0</v>
      </c>
      <c r="L11" s="65">
        <v>0</v>
      </c>
      <c r="M11" s="65"/>
      <c r="N11" s="65">
        <f t="shared" si="2"/>
        <v>0</v>
      </c>
      <c r="O11" s="66">
        <v>0</v>
      </c>
      <c r="P11" s="66"/>
      <c r="Q11" s="66">
        <f t="shared" si="3"/>
        <v>0</v>
      </c>
      <c r="R11" s="65">
        <v>0</v>
      </c>
      <c r="S11" s="65"/>
      <c r="T11" s="65">
        <f t="shared" si="4"/>
        <v>0</v>
      </c>
      <c r="U11" s="66"/>
      <c r="V11" s="66"/>
      <c r="W11" s="66">
        <f t="shared" si="5"/>
        <v>0</v>
      </c>
      <c r="X11" s="65"/>
      <c r="Y11" s="65"/>
      <c r="Z11" s="65">
        <f t="shared" si="6"/>
        <v>0</v>
      </c>
      <c r="AA11" s="66"/>
      <c r="AB11" s="66"/>
      <c r="AC11" s="66">
        <f t="shared" si="7"/>
        <v>0</v>
      </c>
      <c r="AD11" s="65"/>
      <c r="AE11" s="65"/>
      <c r="AF11" s="65">
        <f t="shared" si="8"/>
        <v>0</v>
      </c>
      <c r="AG11" s="66"/>
      <c r="AH11" s="66"/>
      <c r="AI11" s="66">
        <f t="shared" si="9"/>
        <v>0</v>
      </c>
      <c r="AJ11" s="65"/>
      <c r="AK11" s="65"/>
      <c r="AL11" s="65">
        <f t="shared" si="10"/>
        <v>0</v>
      </c>
      <c r="AM11" s="66"/>
      <c r="AN11" s="66"/>
      <c r="AO11" s="66">
        <f t="shared" ref="AO11" si="14">AM11+AN11</f>
        <v>0</v>
      </c>
    </row>
    <row r="12" spans="1:41" s="58" customFormat="1" x14ac:dyDescent="0.2">
      <c r="A12" s="64" t="s">
        <v>58</v>
      </c>
      <c r="B12" s="13"/>
      <c r="C12" s="14">
        <f t="shared" si="13"/>
        <v>86582</v>
      </c>
      <c r="D12" s="14"/>
      <c r="E12" s="3"/>
      <c r="F12" s="65">
        <v>81583</v>
      </c>
      <c r="G12" s="65"/>
      <c r="H12" s="65">
        <f t="shared" si="0"/>
        <v>81583</v>
      </c>
      <c r="I12" s="66">
        <v>0</v>
      </c>
      <c r="J12" s="66"/>
      <c r="K12" s="66">
        <f t="shared" si="1"/>
        <v>0</v>
      </c>
      <c r="L12" s="65">
        <v>0</v>
      </c>
      <c r="M12" s="65"/>
      <c r="N12" s="65">
        <f>L12+M12</f>
        <v>0</v>
      </c>
      <c r="O12" s="66">
        <v>0</v>
      </c>
      <c r="P12" s="66"/>
      <c r="Q12" s="66">
        <f t="shared" si="3"/>
        <v>0</v>
      </c>
      <c r="R12" s="65">
        <v>0</v>
      </c>
      <c r="S12" s="65"/>
      <c r="T12" s="65">
        <f t="shared" si="4"/>
        <v>0</v>
      </c>
      <c r="U12" s="66"/>
      <c r="V12" s="66"/>
      <c r="W12" s="66">
        <f t="shared" si="5"/>
        <v>0</v>
      </c>
      <c r="X12" s="65"/>
      <c r="Y12" s="65"/>
      <c r="Z12" s="65">
        <f t="shared" si="6"/>
        <v>0</v>
      </c>
      <c r="AA12" s="66">
        <v>4999</v>
      </c>
      <c r="AB12" s="66"/>
      <c r="AC12" s="66">
        <f t="shared" si="7"/>
        <v>4999</v>
      </c>
      <c r="AD12" s="65"/>
      <c r="AE12" s="65"/>
      <c r="AF12" s="65"/>
      <c r="AG12" s="66"/>
      <c r="AH12" s="66"/>
      <c r="AI12" s="66"/>
      <c r="AJ12" s="65"/>
      <c r="AK12" s="65"/>
      <c r="AL12" s="65"/>
      <c r="AM12" s="66"/>
      <c r="AN12" s="66"/>
      <c r="AO12" s="66"/>
    </row>
    <row r="13" spans="1:41" s="58" customFormat="1" x14ac:dyDescent="0.2">
      <c r="A13" s="64" t="s">
        <v>59</v>
      </c>
      <c r="B13" s="13"/>
      <c r="C13" s="14">
        <f t="shared" si="13"/>
        <v>0</v>
      </c>
      <c r="D13" s="14"/>
      <c r="E13" s="3"/>
      <c r="F13" s="65">
        <v>100000</v>
      </c>
      <c r="G13" s="120">
        <v>-100000</v>
      </c>
      <c r="H13" s="65">
        <f t="shared" si="0"/>
        <v>0</v>
      </c>
      <c r="I13" s="66">
        <v>0</v>
      </c>
      <c r="J13" s="120">
        <v>0</v>
      </c>
      <c r="K13" s="66">
        <f t="shared" si="1"/>
        <v>0</v>
      </c>
      <c r="L13" s="65">
        <v>0</v>
      </c>
      <c r="M13" s="65"/>
      <c r="N13" s="65">
        <f t="shared" si="2"/>
        <v>0</v>
      </c>
      <c r="O13" s="69">
        <v>400000</v>
      </c>
      <c r="P13" s="120">
        <v>-400000</v>
      </c>
      <c r="Q13" s="66">
        <f t="shared" si="3"/>
        <v>0</v>
      </c>
      <c r="R13" s="65">
        <v>0</v>
      </c>
      <c r="S13" s="65"/>
      <c r="T13" s="65">
        <f t="shared" si="4"/>
        <v>0</v>
      </c>
      <c r="U13" s="66"/>
      <c r="V13" s="66"/>
      <c r="W13" s="66">
        <f t="shared" si="5"/>
        <v>0</v>
      </c>
      <c r="X13" s="65"/>
      <c r="Y13" s="65"/>
      <c r="Z13" s="65">
        <f t="shared" si="6"/>
        <v>0</v>
      </c>
      <c r="AA13" s="66"/>
      <c r="AB13" s="66"/>
      <c r="AC13" s="66">
        <f t="shared" si="7"/>
        <v>0</v>
      </c>
      <c r="AD13" s="65"/>
      <c r="AE13" s="65"/>
      <c r="AF13" s="65">
        <f t="shared" si="8"/>
        <v>0</v>
      </c>
      <c r="AG13" s="66"/>
      <c r="AH13" s="66"/>
      <c r="AI13" s="66">
        <f t="shared" si="9"/>
        <v>0</v>
      </c>
      <c r="AJ13" s="65"/>
      <c r="AK13" s="65"/>
      <c r="AL13" s="65">
        <f t="shared" si="10"/>
        <v>0</v>
      </c>
      <c r="AM13" s="66"/>
      <c r="AN13" s="66"/>
      <c r="AO13" s="66">
        <f t="shared" ref="AO13:AO21" si="15">AM13+AN13</f>
        <v>0</v>
      </c>
    </row>
    <row r="14" spans="1:41" s="58" customFormat="1" x14ac:dyDescent="0.2">
      <c r="A14" s="64" t="s">
        <v>87</v>
      </c>
      <c r="B14" s="13"/>
      <c r="C14" s="14">
        <f t="shared" si="13"/>
        <v>64007</v>
      </c>
      <c r="D14" s="14">
        <v>80000</v>
      </c>
      <c r="E14" s="3"/>
      <c r="F14" s="65">
        <v>64007</v>
      </c>
      <c r="G14" s="65"/>
      <c r="H14" s="65">
        <f t="shared" si="0"/>
        <v>64007</v>
      </c>
      <c r="I14" s="66">
        <v>0</v>
      </c>
      <c r="J14" s="66"/>
      <c r="K14" s="66">
        <f t="shared" si="1"/>
        <v>0</v>
      </c>
      <c r="L14" s="65">
        <v>0</v>
      </c>
      <c r="M14" s="65"/>
      <c r="N14" s="65">
        <f t="shared" si="2"/>
        <v>0</v>
      </c>
      <c r="O14" s="66">
        <v>0</v>
      </c>
      <c r="P14" s="66"/>
      <c r="Q14" s="66">
        <f t="shared" si="3"/>
        <v>0</v>
      </c>
      <c r="R14" s="65">
        <v>0</v>
      </c>
      <c r="S14" s="65"/>
      <c r="T14" s="65">
        <f t="shared" si="4"/>
        <v>0</v>
      </c>
      <c r="U14" s="66"/>
      <c r="V14" s="66"/>
      <c r="W14" s="66">
        <f t="shared" si="5"/>
        <v>0</v>
      </c>
      <c r="X14" s="65"/>
      <c r="Y14" s="65"/>
      <c r="Z14" s="65">
        <f t="shared" si="6"/>
        <v>0</v>
      </c>
      <c r="AA14" s="66"/>
      <c r="AB14" s="66"/>
      <c r="AC14" s="66">
        <f t="shared" si="7"/>
        <v>0</v>
      </c>
      <c r="AD14" s="65"/>
      <c r="AE14" s="65"/>
      <c r="AF14" s="65">
        <f t="shared" si="8"/>
        <v>0</v>
      </c>
      <c r="AG14" s="66"/>
      <c r="AH14" s="66"/>
      <c r="AI14" s="66">
        <f t="shared" si="9"/>
        <v>0</v>
      </c>
      <c r="AJ14" s="65"/>
      <c r="AK14" s="65"/>
      <c r="AL14" s="65">
        <f t="shared" si="10"/>
        <v>0</v>
      </c>
      <c r="AM14" s="66"/>
      <c r="AN14" s="66"/>
      <c r="AO14" s="66">
        <f t="shared" si="15"/>
        <v>0</v>
      </c>
    </row>
    <row r="15" spans="1:41" s="58" customFormat="1" x14ac:dyDescent="0.2">
      <c r="A15" s="64" t="s">
        <v>53</v>
      </c>
      <c r="B15" s="13"/>
      <c r="C15" s="14">
        <f t="shared" si="13"/>
        <v>479561</v>
      </c>
      <c r="D15" s="14">
        <v>45000</v>
      </c>
      <c r="E15" s="3"/>
      <c r="F15" s="65"/>
      <c r="G15" s="65"/>
      <c r="H15" s="65">
        <f t="shared" si="0"/>
        <v>0</v>
      </c>
      <c r="I15" s="66">
        <v>170655</v>
      </c>
      <c r="J15" s="66"/>
      <c r="K15" s="66">
        <f t="shared" si="1"/>
        <v>170655</v>
      </c>
      <c r="L15" s="65">
        <v>0</v>
      </c>
      <c r="M15" s="65"/>
      <c r="N15" s="65">
        <f t="shared" si="2"/>
        <v>0</v>
      </c>
      <c r="O15" s="66">
        <v>258006</v>
      </c>
      <c r="P15" s="66"/>
      <c r="Q15" s="66">
        <f t="shared" si="3"/>
        <v>258006</v>
      </c>
      <c r="R15" s="65">
        <v>0</v>
      </c>
      <c r="S15" s="65"/>
      <c r="T15" s="65">
        <f t="shared" si="4"/>
        <v>0</v>
      </c>
      <c r="U15" s="66">
        <v>15000</v>
      </c>
      <c r="V15" s="66"/>
      <c r="W15" s="66">
        <f t="shared" si="5"/>
        <v>15000</v>
      </c>
      <c r="X15" s="65">
        <v>25500</v>
      </c>
      <c r="Y15" s="65"/>
      <c r="Z15" s="65">
        <f t="shared" si="6"/>
        <v>25500</v>
      </c>
      <c r="AA15" s="66">
        <v>10400</v>
      </c>
      <c r="AB15" s="66"/>
      <c r="AC15" s="66">
        <f t="shared" si="7"/>
        <v>10400</v>
      </c>
      <c r="AD15" s="65"/>
      <c r="AE15" s="65"/>
      <c r="AF15" s="65">
        <f t="shared" si="8"/>
        <v>0</v>
      </c>
      <c r="AG15" s="66"/>
      <c r="AH15" s="66"/>
      <c r="AI15" s="66">
        <f t="shared" si="9"/>
        <v>0</v>
      </c>
      <c r="AJ15" s="65"/>
      <c r="AK15" s="65"/>
      <c r="AL15" s="65">
        <f t="shared" si="10"/>
        <v>0</v>
      </c>
      <c r="AM15" s="66"/>
      <c r="AN15" s="66"/>
      <c r="AO15" s="66">
        <f t="shared" si="15"/>
        <v>0</v>
      </c>
    </row>
    <row r="16" spans="1:41" s="58" customFormat="1" x14ac:dyDescent="0.2">
      <c r="A16" s="64" t="s">
        <v>54</v>
      </c>
      <c r="B16" s="13"/>
      <c r="C16" s="14">
        <f t="shared" si="13"/>
        <v>352000</v>
      </c>
      <c r="D16" s="14">
        <v>3000</v>
      </c>
      <c r="E16" s="3"/>
      <c r="F16" s="65">
        <v>183000</v>
      </c>
      <c r="G16" s="65"/>
      <c r="H16" s="65">
        <f t="shared" si="0"/>
        <v>183000</v>
      </c>
      <c r="I16" s="66">
        <v>108000</v>
      </c>
      <c r="J16" s="66"/>
      <c r="K16" s="66">
        <f t="shared" si="1"/>
        <v>108000</v>
      </c>
      <c r="L16" s="65">
        <v>0</v>
      </c>
      <c r="M16" s="65"/>
      <c r="N16" s="65">
        <f t="shared" si="2"/>
        <v>0</v>
      </c>
      <c r="O16" s="66">
        <v>41000</v>
      </c>
      <c r="P16" s="66"/>
      <c r="Q16" s="66">
        <f t="shared" si="3"/>
        <v>41000</v>
      </c>
      <c r="R16" s="65">
        <v>20000</v>
      </c>
      <c r="S16" s="65"/>
      <c r="T16" s="65">
        <f t="shared" si="4"/>
        <v>20000</v>
      </c>
      <c r="U16" s="66"/>
      <c r="V16" s="66"/>
      <c r="W16" s="66">
        <f t="shared" si="5"/>
        <v>0</v>
      </c>
      <c r="X16" s="65"/>
      <c r="Y16" s="65"/>
      <c r="Z16" s="65">
        <f t="shared" si="6"/>
        <v>0</v>
      </c>
      <c r="AA16" s="66"/>
      <c r="AB16" s="66"/>
      <c r="AC16" s="66">
        <f t="shared" si="7"/>
        <v>0</v>
      </c>
      <c r="AD16" s="65"/>
      <c r="AE16" s="65"/>
      <c r="AF16" s="65">
        <f t="shared" si="8"/>
        <v>0</v>
      </c>
      <c r="AG16" s="66"/>
      <c r="AH16" s="66"/>
      <c r="AI16" s="66">
        <f t="shared" si="9"/>
        <v>0</v>
      </c>
      <c r="AJ16" s="65"/>
      <c r="AK16" s="65"/>
      <c r="AL16" s="65">
        <f t="shared" si="10"/>
        <v>0</v>
      </c>
      <c r="AM16" s="66"/>
      <c r="AN16" s="66"/>
      <c r="AO16" s="66">
        <f t="shared" si="15"/>
        <v>0</v>
      </c>
    </row>
    <row r="17" spans="1:41" s="58" customFormat="1" x14ac:dyDescent="0.2">
      <c r="A17" s="64" t="s">
        <v>85</v>
      </c>
      <c r="B17" s="13"/>
      <c r="C17" s="14">
        <f t="shared" si="13"/>
        <v>17425</v>
      </c>
      <c r="D17" s="14">
        <v>32000</v>
      </c>
      <c r="E17" s="3"/>
      <c r="F17" s="65"/>
      <c r="G17" s="65"/>
      <c r="H17" s="65">
        <f t="shared" si="0"/>
        <v>0</v>
      </c>
      <c r="I17" s="66">
        <v>900</v>
      </c>
      <c r="J17" s="66"/>
      <c r="K17" s="66">
        <f t="shared" si="1"/>
        <v>900</v>
      </c>
      <c r="L17" s="65">
        <v>0</v>
      </c>
      <c r="M17" s="65"/>
      <c r="N17" s="65">
        <f t="shared" si="2"/>
        <v>0</v>
      </c>
      <c r="O17" s="66">
        <v>16525</v>
      </c>
      <c r="P17" s="66"/>
      <c r="Q17" s="66">
        <f t="shared" si="3"/>
        <v>16525</v>
      </c>
      <c r="R17" s="65">
        <v>0</v>
      </c>
      <c r="S17" s="65"/>
      <c r="T17" s="65">
        <f t="shared" si="4"/>
        <v>0</v>
      </c>
      <c r="U17" s="66"/>
      <c r="V17" s="66"/>
      <c r="W17" s="66">
        <f t="shared" si="5"/>
        <v>0</v>
      </c>
      <c r="X17" s="65"/>
      <c r="Y17" s="65"/>
      <c r="Z17" s="65">
        <f t="shared" si="6"/>
        <v>0</v>
      </c>
      <c r="AA17" s="66"/>
      <c r="AB17" s="66"/>
      <c r="AC17" s="66">
        <f t="shared" si="7"/>
        <v>0</v>
      </c>
      <c r="AD17" s="65"/>
      <c r="AE17" s="65"/>
      <c r="AF17" s="65">
        <f t="shared" si="8"/>
        <v>0</v>
      </c>
      <c r="AG17" s="66"/>
      <c r="AH17" s="66"/>
      <c r="AI17" s="66">
        <f t="shared" si="9"/>
        <v>0</v>
      </c>
      <c r="AJ17" s="65"/>
      <c r="AK17" s="65"/>
      <c r="AL17" s="65">
        <f t="shared" si="10"/>
        <v>0</v>
      </c>
      <c r="AM17" s="66"/>
      <c r="AN17" s="66"/>
      <c r="AO17" s="66">
        <f t="shared" si="15"/>
        <v>0</v>
      </c>
    </row>
    <row r="18" spans="1:41" s="58" customFormat="1" x14ac:dyDescent="0.2">
      <c r="A18" s="64" t="s">
        <v>56</v>
      </c>
      <c r="B18" s="13"/>
      <c r="C18" s="14">
        <f t="shared" si="13"/>
        <v>35779</v>
      </c>
      <c r="D18" s="14">
        <v>70000</v>
      </c>
      <c r="E18" s="3"/>
      <c r="F18" s="65">
        <v>35779</v>
      </c>
      <c r="G18" s="65"/>
      <c r="H18" s="65">
        <f t="shared" si="0"/>
        <v>35779</v>
      </c>
      <c r="I18" s="66"/>
      <c r="J18" s="66"/>
      <c r="K18" s="66">
        <f t="shared" si="1"/>
        <v>0</v>
      </c>
      <c r="L18" s="65">
        <v>0</v>
      </c>
      <c r="M18" s="65"/>
      <c r="N18" s="65">
        <f t="shared" si="2"/>
        <v>0</v>
      </c>
      <c r="O18" s="66">
        <v>0</v>
      </c>
      <c r="P18" s="66"/>
      <c r="Q18" s="66">
        <f t="shared" si="3"/>
        <v>0</v>
      </c>
      <c r="R18" s="65">
        <v>0</v>
      </c>
      <c r="S18" s="65"/>
      <c r="T18" s="65">
        <f t="shared" si="4"/>
        <v>0</v>
      </c>
      <c r="U18" s="66"/>
      <c r="V18" s="66"/>
      <c r="W18" s="66">
        <f t="shared" si="5"/>
        <v>0</v>
      </c>
      <c r="X18" s="65"/>
      <c r="Y18" s="65"/>
      <c r="Z18" s="65">
        <f t="shared" si="6"/>
        <v>0</v>
      </c>
      <c r="AA18" s="66"/>
      <c r="AB18" s="66"/>
      <c r="AC18" s="66">
        <f t="shared" si="7"/>
        <v>0</v>
      </c>
      <c r="AD18" s="65"/>
      <c r="AE18" s="65"/>
      <c r="AF18" s="65">
        <f t="shared" si="8"/>
        <v>0</v>
      </c>
      <c r="AG18" s="66"/>
      <c r="AH18" s="66"/>
      <c r="AI18" s="66">
        <f t="shared" si="9"/>
        <v>0</v>
      </c>
      <c r="AJ18" s="65"/>
      <c r="AK18" s="65"/>
      <c r="AL18" s="65">
        <f t="shared" si="10"/>
        <v>0</v>
      </c>
      <c r="AM18" s="66"/>
      <c r="AN18" s="66"/>
      <c r="AO18" s="66">
        <f t="shared" si="15"/>
        <v>0</v>
      </c>
    </row>
    <row r="19" spans="1:41" s="58" customFormat="1" x14ac:dyDescent="0.2">
      <c r="A19" s="12" t="s">
        <v>162</v>
      </c>
      <c r="B19" s="13"/>
      <c r="C19" s="14">
        <f t="shared" si="13"/>
        <v>62524</v>
      </c>
      <c r="D19" s="14">
        <v>70000</v>
      </c>
      <c r="E19" s="3"/>
      <c r="F19" s="65">
        <v>62524</v>
      </c>
      <c r="G19" s="65"/>
      <c r="H19" s="65">
        <f t="shared" si="0"/>
        <v>62524</v>
      </c>
      <c r="I19" s="66"/>
      <c r="J19" s="66"/>
      <c r="K19" s="66">
        <f t="shared" si="1"/>
        <v>0</v>
      </c>
      <c r="L19" s="65">
        <v>0</v>
      </c>
      <c r="M19" s="65"/>
      <c r="N19" s="65">
        <f t="shared" si="2"/>
        <v>0</v>
      </c>
      <c r="O19" s="66">
        <v>0</v>
      </c>
      <c r="P19" s="66"/>
      <c r="Q19" s="66">
        <f t="shared" si="3"/>
        <v>0</v>
      </c>
      <c r="R19" s="65">
        <v>0</v>
      </c>
      <c r="S19" s="65"/>
      <c r="T19" s="65">
        <f t="shared" si="4"/>
        <v>0</v>
      </c>
      <c r="U19" s="66"/>
      <c r="V19" s="66"/>
      <c r="W19" s="66">
        <f t="shared" si="5"/>
        <v>0</v>
      </c>
      <c r="X19" s="65"/>
      <c r="Y19" s="65"/>
      <c r="Z19" s="65">
        <f t="shared" si="6"/>
        <v>0</v>
      </c>
      <c r="AA19" s="66"/>
      <c r="AB19" s="66"/>
      <c r="AC19" s="66">
        <f t="shared" si="7"/>
        <v>0</v>
      </c>
      <c r="AD19" s="65"/>
      <c r="AE19" s="65"/>
      <c r="AF19" s="65">
        <f t="shared" si="8"/>
        <v>0</v>
      </c>
      <c r="AG19" s="66"/>
      <c r="AH19" s="66"/>
      <c r="AI19" s="66">
        <f t="shared" si="9"/>
        <v>0</v>
      </c>
      <c r="AJ19" s="65"/>
      <c r="AK19" s="65"/>
      <c r="AL19" s="65">
        <f t="shared" si="10"/>
        <v>0</v>
      </c>
      <c r="AM19" s="66"/>
      <c r="AN19" s="66"/>
      <c r="AO19" s="66">
        <f t="shared" si="15"/>
        <v>0</v>
      </c>
    </row>
    <row r="20" spans="1:41" s="58" customFormat="1" x14ac:dyDescent="0.2">
      <c r="A20" s="12" t="s">
        <v>124</v>
      </c>
      <c r="B20" s="13"/>
      <c r="C20" s="14">
        <f t="shared" si="13"/>
        <v>135518</v>
      </c>
      <c r="D20" s="14"/>
      <c r="E20" s="3"/>
      <c r="F20" s="65">
        <v>135518</v>
      </c>
      <c r="G20" s="65"/>
      <c r="H20" s="65">
        <f t="shared" si="0"/>
        <v>135518</v>
      </c>
      <c r="I20" s="66"/>
      <c r="J20" s="66"/>
      <c r="K20" s="66">
        <f t="shared" si="1"/>
        <v>0</v>
      </c>
      <c r="L20" s="65">
        <v>0</v>
      </c>
      <c r="M20" s="65"/>
      <c r="N20" s="65">
        <f t="shared" si="2"/>
        <v>0</v>
      </c>
      <c r="O20" s="66">
        <v>0</v>
      </c>
      <c r="P20" s="66"/>
      <c r="Q20" s="66">
        <f t="shared" si="3"/>
        <v>0</v>
      </c>
      <c r="R20" s="65">
        <v>0</v>
      </c>
      <c r="S20" s="65"/>
      <c r="T20" s="65">
        <f t="shared" si="4"/>
        <v>0</v>
      </c>
      <c r="U20" s="66"/>
      <c r="V20" s="66"/>
      <c r="W20" s="66">
        <f t="shared" si="5"/>
        <v>0</v>
      </c>
      <c r="X20" s="65"/>
      <c r="Y20" s="65"/>
      <c r="Z20" s="65">
        <f t="shared" si="6"/>
        <v>0</v>
      </c>
      <c r="AA20" s="66"/>
      <c r="AB20" s="66"/>
      <c r="AC20" s="66">
        <f t="shared" si="7"/>
        <v>0</v>
      </c>
      <c r="AD20" s="65"/>
      <c r="AE20" s="65"/>
      <c r="AF20" s="65">
        <f t="shared" si="8"/>
        <v>0</v>
      </c>
      <c r="AG20" s="66"/>
      <c r="AH20" s="66"/>
      <c r="AI20" s="66">
        <f t="shared" si="9"/>
        <v>0</v>
      </c>
      <c r="AJ20" s="65"/>
      <c r="AK20" s="65"/>
      <c r="AL20" s="65">
        <f t="shared" si="10"/>
        <v>0</v>
      </c>
      <c r="AM20" s="66"/>
      <c r="AN20" s="66"/>
      <c r="AO20" s="66">
        <f t="shared" si="15"/>
        <v>0</v>
      </c>
    </row>
    <row r="21" spans="1:41" s="58" customFormat="1" x14ac:dyDescent="0.2">
      <c r="A21" s="64" t="s">
        <v>55</v>
      </c>
      <c r="B21" s="13"/>
      <c r="C21" s="14">
        <f t="shared" si="13"/>
        <v>91687</v>
      </c>
      <c r="D21" s="14">
        <v>20000</v>
      </c>
      <c r="E21" s="3"/>
      <c r="F21" s="65">
        <v>2319</v>
      </c>
      <c r="G21" s="65"/>
      <c r="H21" s="65">
        <f t="shared" si="0"/>
        <v>2319</v>
      </c>
      <c r="I21" s="66">
        <v>7550</v>
      </c>
      <c r="J21" s="66"/>
      <c r="K21" s="66">
        <f t="shared" si="1"/>
        <v>7550</v>
      </c>
      <c r="L21" s="65">
        <v>0</v>
      </c>
      <c r="M21" s="65"/>
      <c r="N21" s="65">
        <f t="shared" si="2"/>
        <v>0</v>
      </c>
      <c r="O21" s="69">
        <v>81818</v>
      </c>
      <c r="P21" s="66"/>
      <c r="Q21" s="66">
        <f t="shared" si="3"/>
        <v>81818</v>
      </c>
      <c r="R21" s="65">
        <v>0</v>
      </c>
      <c r="S21" s="65"/>
      <c r="T21" s="65">
        <f t="shared" si="4"/>
        <v>0</v>
      </c>
      <c r="U21" s="66">
        <v>41431</v>
      </c>
      <c r="V21" s="120">
        <v>-41431</v>
      </c>
      <c r="W21" s="66">
        <f t="shared" si="5"/>
        <v>0</v>
      </c>
      <c r="X21" s="65"/>
      <c r="Y21" s="65"/>
      <c r="Z21" s="65">
        <f t="shared" si="6"/>
        <v>0</v>
      </c>
      <c r="AA21" s="66"/>
      <c r="AB21" s="66"/>
      <c r="AC21" s="66">
        <f t="shared" si="7"/>
        <v>0</v>
      </c>
      <c r="AD21" s="65"/>
      <c r="AE21" s="65"/>
      <c r="AF21" s="65">
        <f t="shared" si="8"/>
        <v>0</v>
      </c>
      <c r="AG21" s="66"/>
      <c r="AH21" s="66"/>
      <c r="AI21" s="66">
        <f t="shared" si="9"/>
        <v>0</v>
      </c>
      <c r="AJ21" s="65"/>
      <c r="AK21" s="65"/>
      <c r="AL21" s="65">
        <f t="shared" si="10"/>
        <v>0</v>
      </c>
      <c r="AM21" s="66"/>
      <c r="AN21" s="66"/>
      <c r="AO21" s="66">
        <f t="shared" si="15"/>
        <v>0</v>
      </c>
    </row>
    <row r="22" spans="1:41" s="58" customFormat="1" ht="17.25" x14ac:dyDescent="0.3">
      <c r="A22" s="4" t="s">
        <v>5</v>
      </c>
      <c r="B22" s="16"/>
      <c r="C22" s="17">
        <f>SUM(C7:C21)</f>
        <v>3228244</v>
      </c>
      <c r="D22" s="17">
        <f>SUM(D7:D21)</f>
        <v>380000</v>
      </c>
      <c r="E22" s="3"/>
      <c r="F22" s="67">
        <f t="shared" ref="F22:AO22" si="16">SUM(F7:F21)</f>
        <v>1006290</v>
      </c>
      <c r="G22" s="67">
        <f t="shared" si="16"/>
        <v>-100000</v>
      </c>
      <c r="H22" s="67">
        <f t="shared" si="16"/>
        <v>906290</v>
      </c>
      <c r="I22" s="67">
        <f t="shared" si="16"/>
        <v>621261</v>
      </c>
      <c r="J22" s="67">
        <f t="shared" si="16"/>
        <v>0</v>
      </c>
      <c r="K22" s="67">
        <f t="shared" si="16"/>
        <v>621261</v>
      </c>
      <c r="L22" s="67">
        <f t="shared" si="16"/>
        <v>3867</v>
      </c>
      <c r="M22" s="67">
        <f t="shared" si="16"/>
        <v>0</v>
      </c>
      <c r="N22" s="67">
        <f t="shared" si="16"/>
        <v>3867</v>
      </c>
      <c r="O22" s="67">
        <f t="shared" si="16"/>
        <v>944872</v>
      </c>
      <c r="P22" s="67">
        <f t="shared" si="16"/>
        <v>-400000</v>
      </c>
      <c r="Q22" s="67">
        <f t="shared" si="16"/>
        <v>544872</v>
      </c>
      <c r="R22" s="67">
        <f t="shared" si="16"/>
        <v>1093805</v>
      </c>
      <c r="S22" s="67">
        <f t="shared" si="16"/>
        <v>0</v>
      </c>
      <c r="T22" s="67">
        <f t="shared" si="16"/>
        <v>1093805</v>
      </c>
      <c r="U22" s="67">
        <f t="shared" si="16"/>
        <v>56431</v>
      </c>
      <c r="V22" s="67">
        <f t="shared" si="16"/>
        <v>-41431</v>
      </c>
      <c r="W22" s="67">
        <f t="shared" si="16"/>
        <v>15000</v>
      </c>
      <c r="X22" s="67">
        <f t="shared" si="16"/>
        <v>25500</v>
      </c>
      <c r="Y22" s="67">
        <f t="shared" si="16"/>
        <v>0</v>
      </c>
      <c r="Z22" s="67">
        <f t="shared" si="16"/>
        <v>25500</v>
      </c>
      <c r="AA22" s="67">
        <f t="shared" si="16"/>
        <v>17649</v>
      </c>
      <c r="AB22" s="67">
        <f t="shared" si="16"/>
        <v>0</v>
      </c>
      <c r="AC22" s="67">
        <f t="shared" si="16"/>
        <v>17649</v>
      </c>
      <c r="AD22" s="67">
        <f t="shared" si="16"/>
        <v>0</v>
      </c>
      <c r="AE22" s="67">
        <f t="shared" si="16"/>
        <v>0</v>
      </c>
      <c r="AF22" s="67">
        <f t="shared" si="16"/>
        <v>0</v>
      </c>
      <c r="AG22" s="67">
        <f t="shared" si="16"/>
        <v>0</v>
      </c>
      <c r="AH22" s="67">
        <f t="shared" si="16"/>
        <v>0</v>
      </c>
      <c r="AI22" s="67">
        <f t="shared" si="16"/>
        <v>0</v>
      </c>
      <c r="AJ22" s="67">
        <f t="shared" si="16"/>
        <v>0</v>
      </c>
      <c r="AK22" s="67">
        <f t="shared" si="16"/>
        <v>0</v>
      </c>
      <c r="AL22" s="67">
        <f t="shared" si="16"/>
        <v>0</v>
      </c>
      <c r="AM22" s="67">
        <f t="shared" si="16"/>
        <v>0</v>
      </c>
      <c r="AN22" s="67">
        <f t="shared" si="16"/>
        <v>0</v>
      </c>
      <c r="AO22" s="67">
        <f t="shared" si="16"/>
        <v>0</v>
      </c>
    </row>
    <row r="23" spans="1:41" s="58" customFormat="1" ht="17.25" x14ac:dyDescent="0.3">
      <c r="A23" s="15"/>
      <c r="B23" s="16"/>
      <c r="C23" s="18"/>
      <c r="D23" s="18"/>
      <c r="E23" s="3"/>
      <c r="F23" s="65"/>
      <c r="G23" s="65"/>
      <c r="H23" s="65"/>
      <c r="I23" s="66"/>
      <c r="J23" s="66"/>
      <c r="K23" s="66"/>
      <c r="L23" s="65"/>
      <c r="M23" s="65"/>
      <c r="N23" s="65"/>
      <c r="O23" s="66"/>
      <c r="P23" s="66"/>
      <c r="Q23" s="66"/>
      <c r="R23" s="65"/>
      <c r="S23" s="65"/>
      <c r="T23" s="65"/>
      <c r="U23" s="66"/>
      <c r="V23" s="66"/>
      <c r="W23" s="66"/>
      <c r="X23" s="65"/>
      <c r="Y23" s="65"/>
      <c r="Z23" s="65"/>
      <c r="AA23" s="66"/>
      <c r="AB23" s="66"/>
      <c r="AC23" s="66"/>
      <c r="AD23" s="65"/>
      <c r="AE23" s="65"/>
      <c r="AF23" s="65"/>
      <c r="AG23" s="66"/>
      <c r="AH23" s="66"/>
      <c r="AI23" s="66"/>
      <c r="AJ23" s="65"/>
      <c r="AK23" s="65"/>
      <c r="AL23" s="65"/>
      <c r="AM23" s="66"/>
      <c r="AN23" s="66"/>
      <c r="AO23" s="66"/>
    </row>
    <row r="24" spans="1:41" s="58" customFormat="1" ht="17.25" x14ac:dyDescent="0.3">
      <c r="A24" s="4" t="s">
        <v>6</v>
      </c>
      <c r="B24" s="16"/>
      <c r="C24" s="19"/>
      <c r="D24" s="19"/>
      <c r="E24" s="3"/>
      <c r="F24" s="65"/>
      <c r="G24" s="65"/>
      <c r="H24" s="65"/>
      <c r="I24" s="66"/>
      <c r="J24" s="66"/>
      <c r="K24" s="66"/>
      <c r="L24" s="65"/>
      <c r="M24" s="65"/>
      <c r="N24" s="65"/>
      <c r="O24" s="66"/>
      <c r="P24" s="66"/>
      <c r="Q24" s="66"/>
      <c r="R24" s="65"/>
      <c r="S24" s="65"/>
      <c r="T24" s="65"/>
      <c r="U24" s="66"/>
      <c r="V24" s="66"/>
      <c r="W24" s="66"/>
      <c r="X24" s="65"/>
      <c r="Y24" s="65"/>
      <c r="Z24" s="65"/>
      <c r="AA24" s="66"/>
      <c r="AB24" s="66"/>
      <c r="AC24" s="66"/>
      <c r="AD24" s="65"/>
      <c r="AE24" s="65"/>
      <c r="AF24" s="65"/>
      <c r="AG24" s="66"/>
      <c r="AH24" s="66"/>
      <c r="AI24" s="66"/>
      <c r="AJ24" s="65"/>
      <c r="AK24" s="65"/>
      <c r="AL24" s="65"/>
      <c r="AM24" s="66"/>
      <c r="AN24" s="66"/>
      <c r="AO24" s="66"/>
    </row>
    <row r="25" spans="1:41" s="58" customFormat="1" ht="17.25" x14ac:dyDescent="0.3">
      <c r="A25" s="15"/>
      <c r="B25" s="16"/>
      <c r="C25" s="19"/>
      <c r="D25" s="19"/>
      <c r="E25" s="3"/>
      <c r="F25" s="65"/>
      <c r="G25" s="65"/>
      <c r="H25" s="65"/>
      <c r="I25" s="66"/>
      <c r="J25" s="66"/>
      <c r="K25" s="66"/>
      <c r="L25" s="65"/>
      <c r="M25" s="65"/>
      <c r="N25" s="65"/>
      <c r="O25" s="66"/>
      <c r="P25" s="66"/>
      <c r="Q25" s="66"/>
      <c r="R25" s="65"/>
      <c r="S25" s="65"/>
      <c r="T25" s="65"/>
      <c r="U25" s="66"/>
      <c r="V25" s="66"/>
      <c r="W25" s="66"/>
      <c r="X25" s="65"/>
      <c r="Y25" s="65"/>
      <c r="Z25" s="65"/>
      <c r="AA25" s="66"/>
      <c r="AB25" s="66"/>
      <c r="AC25" s="66"/>
      <c r="AD25" s="65"/>
      <c r="AE25" s="65"/>
      <c r="AF25" s="65"/>
      <c r="AG25" s="66"/>
      <c r="AH25" s="66"/>
      <c r="AI25" s="66"/>
      <c r="AJ25" s="65"/>
      <c r="AK25" s="65"/>
      <c r="AL25" s="65"/>
      <c r="AM25" s="66"/>
      <c r="AN25" s="66"/>
      <c r="AO25" s="66"/>
    </row>
    <row r="26" spans="1:41" s="58" customFormat="1" ht="17.25" x14ac:dyDescent="0.3">
      <c r="A26" s="68" t="s">
        <v>89</v>
      </c>
      <c r="B26" s="16"/>
      <c r="C26" s="14">
        <f>H26+K26+N26+Q26+T26+W26+Z26+AC26+AF26+AI26+AL26+AO26</f>
        <v>484394</v>
      </c>
      <c r="D26" s="19"/>
      <c r="E26" s="3"/>
      <c r="F26" s="65">
        <v>162118</v>
      </c>
      <c r="G26" s="65"/>
      <c r="H26" s="65">
        <f t="shared" si="0"/>
        <v>162118</v>
      </c>
      <c r="I26" s="66">
        <v>63691</v>
      </c>
      <c r="J26" s="66"/>
      <c r="K26" s="66">
        <f t="shared" si="1"/>
        <v>63691</v>
      </c>
      <c r="L26" s="65">
        <v>0</v>
      </c>
      <c r="M26" s="65"/>
      <c r="N26" s="65">
        <f t="shared" si="2"/>
        <v>0</v>
      </c>
      <c r="O26" s="66">
        <v>27423</v>
      </c>
      <c r="P26" s="66"/>
      <c r="Q26" s="66">
        <f t="shared" si="3"/>
        <v>27423</v>
      </c>
      <c r="R26" s="65">
        <v>231162</v>
      </c>
      <c r="S26" s="65"/>
      <c r="T26" s="65">
        <f t="shared" si="4"/>
        <v>231162</v>
      </c>
      <c r="U26" s="66"/>
      <c r="V26" s="66"/>
      <c r="W26" s="66">
        <f t="shared" si="5"/>
        <v>0</v>
      </c>
      <c r="X26" s="65"/>
      <c r="Y26" s="65"/>
      <c r="Z26" s="65">
        <f t="shared" si="6"/>
        <v>0</v>
      </c>
      <c r="AA26" s="66"/>
      <c r="AB26" s="66"/>
      <c r="AC26" s="66">
        <f t="shared" si="7"/>
        <v>0</v>
      </c>
      <c r="AD26" s="65"/>
      <c r="AE26" s="65"/>
      <c r="AF26" s="65">
        <f t="shared" si="8"/>
        <v>0</v>
      </c>
      <c r="AG26" s="66"/>
      <c r="AH26" s="66"/>
      <c r="AI26" s="66">
        <f t="shared" si="9"/>
        <v>0</v>
      </c>
      <c r="AJ26" s="65"/>
      <c r="AK26" s="65"/>
      <c r="AL26" s="65">
        <f t="shared" si="10"/>
        <v>0</v>
      </c>
      <c r="AM26" s="66"/>
      <c r="AN26" s="66"/>
      <c r="AO26" s="66">
        <f t="shared" ref="AO26:AO30" si="17">AM26+AN26</f>
        <v>0</v>
      </c>
    </row>
    <row r="27" spans="1:41" s="58" customFormat="1" ht="17.25" x14ac:dyDescent="0.3">
      <c r="A27" s="68" t="s">
        <v>60</v>
      </c>
      <c r="B27" s="16"/>
      <c r="C27" s="14">
        <f>H27+K27+N27+Q27+T27+W27+Z27+AC27+AF27+AI27+AL27+AO27</f>
        <v>698144</v>
      </c>
      <c r="D27" s="19">
        <v>35000</v>
      </c>
      <c r="E27" s="3"/>
      <c r="F27" s="65">
        <v>318952</v>
      </c>
      <c r="G27" s="65"/>
      <c r="H27" s="65">
        <f t="shared" si="0"/>
        <v>318952</v>
      </c>
      <c r="I27" s="66">
        <v>93415</v>
      </c>
      <c r="J27" s="66"/>
      <c r="K27" s="66">
        <f t="shared" si="1"/>
        <v>93415</v>
      </c>
      <c r="L27" s="65">
        <v>2160</v>
      </c>
      <c r="M27" s="65"/>
      <c r="N27" s="65">
        <f t="shared" si="2"/>
        <v>2160</v>
      </c>
      <c r="O27" s="66">
        <v>262857</v>
      </c>
      <c r="P27" s="66"/>
      <c r="Q27" s="66">
        <f t="shared" si="3"/>
        <v>262857</v>
      </c>
      <c r="R27" s="65">
        <v>13760</v>
      </c>
      <c r="S27" s="65"/>
      <c r="T27" s="65">
        <f t="shared" si="4"/>
        <v>13760</v>
      </c>
      <c r="U27" s="66"/>
      <c r="V27" s="66"/>
      <c r="W27" s="66">
        <f t="shared" si="5"/>
        <v>0</v>
      </c>
      <c r="X27" s="65"/>
      <c r="Y27" s="65"/>
      <c r="Z27" s="65">
        <f t="shared" si="6"/>
        <v>0</v>
      </c>
      <c r="AA27" s="66">
        <v>7000</v>
      </c>
      <c r="AB27" s="66"/>
      <c r="AC27" s="66">
        <f t="shared" si="7"/>
        <v>7000</v>
      </c>
      <c r="AD27" s="65"/>
      <c r="AE27" s="65"/>
      <c r="AF27" s="65">
        <f t="shared" si="8"/>
        <v>0</v>
      </c>
      <c r="AG27" s="66"/>
      <c r="AH27" s="66"/>
      <c r="AI27" s="66">
        <f t="shared" si="9"/>
        <v>0</v>
      </c>
      <c r="AJ27" s="65"/>
      <c r="AK27" s="65"/>
      <c r="AL27" s="65">
        <f t="shared" si="10"/>
        <v>0</v>
      </c>
      <c r="AM27" s="66"/>
      <c r="AN27" s="66"/>
      <c r="AO27" s="66">
        <f t="shared" si="17"/>
        <v>0</v>
      </c>
    </row>
    <row r="28" spans="1:41" s="58" customFormat="1" ht="17.25" x14ac:dyDescent="0.3">
      <c r="A28" s="68" t="s">
        <v>62</v>
      </c>
      <c r="B28" s="16"/>
      <c r="C28" s="14">
        <f>H28+K28+N28+Q28+T28+W28+Z28+AC28+AF28+AI28+AL28+AO28</f>
        <v>121700</v>
      </c>
      <c r="D28" s="19">
        <v>0</v>
      </c>
      <c r="E28" s="3"/>
      <c r="F28" s="65">
        <v>116300</v>
      </c>
      <c r="G28" s="65"/>
      <c r="H28" s="65">
        <f t="shared" si="0"/>
        <v>116300</v>
      </c>
      <c r="I28" s="66">
        <v>0</v>
      </c>
      <c r="J28" s="66"/>
      <c r="K28" s="66">
        <f t="shared" si="1"/>
        <v>0</v>
      </c>
      <c r="L28" s="65">
        <v>0</v>
      </c>
      <c r="M28" s="65"/>
      <c r="N28" s="65">
        <f t="shared" si="2"/>
        <v>0</v>
      </c>
      <c r="O28" s="66">
        <v>5400</v>
      </c>
      <c r="P28" s="66"/>
      <c r="Q28" s="66">
        <f t="shared" si="3"/>
        <v>5400</v>
      </c>
      <c r="R28" s="65">
        <v>0</v>
      </c>
      <c r="S28" s="65"/>
      <c r="T28" s="65">
        <f t="shared" si="4"/>
        <v>0</v>
      </c>
      <c r="U28" s="66"/>
      <c r="V28" s="66"/>
      <c r="W28" s="66">
        <f t="shared" si="5"/>
        <v>0</v>
      </c>
      <c r="X28" s="65"/>
      <c r="Y28" s="65"/>
      <c r="Z28" s="65">
        <f t="shared" si="6"/>
        <v>0</v>
      </c>
      <c r="AA28" s="66"/>
      <c r="AB28" s="66"/>
      <c r="AC28" s="66">
        <f t="shared" si="7"/>
        <v>0</v>
      </c>
      <c r="AD28" s="65"/>
      <c r="AE28" s="65"/>
      <c r="AF28" s="65">
        <f t="shared" si="8"/>
        <v>0</v>
      </c>
      <c r="AG28" s="66"/>
      <c r="AH28" s="66"/>
      <c r="AI28" s="66">
        <f t="shared" si="9"/>
        <v>0</v>
      </c>
      <c r="AJ28" s="65"/>
      <c r="AK28" s="65"/>
      <c r="AL28" s="65">
        <f t="shared" si="10"/>
        <v>0</v>
      </c>
      <c r="AM28" s="66"/>
      <c r="AN28" s="66"/>
      <c r="AO28" s="66">
        <f t="shared" si="17"/>
        <v>0</v>
      </c>
    </row>
    <row r="29" spans="1:41" s="58" customFormat="1" ht="17.25" x14ac:dyDescent="0.3">
      <c r="A29" s="68" t="s">
        <v>61</v>
      </c>
      <c r="B29" s="16"/>
      <c r="C29" s="14">
        <f>H29+K29+N29+Q29+T29+W29+Z29+AC29+AF29+AI29+AL29+AO29</f>
        <v>112136</v>
      </c>
      <c r="D29" s="19">
        <v>45000</v>
      </c>
      <c r="E29" s="3"/>
      <c r="F29" s="65">
        <v>112136</v>
      </c>
      <c r="G29" s="65"/>
      <c r="H29" s="65">
        <f t="shared" si="0"/>
        <v>112136</v>
      </c>
      <c r="I29" s="66">
        <v>0</v>
      </c>
      <c r="J29" s="66"/>
      <c r="K29" s="66">
        <f t="shared" si="1"/>
        <v>0</v>
      </c>
      <c r="L29" s="65">
        <v>0</v>
      </c>
      <c r="M29" s="65"/>
      <c r="N29" s="65">
        <f t="shared" si="2"/>
        <v>0</v>
      </c>
      <c r="O29" s="66">
        <v>0</v>
      </c>
      <c r="P29" s="66"/>
      <c r="Q29" s="66">
        <f t="shared" si="3"/>
        <v>0</v>
      </c>
      <c r="R29" s="65">
        <v>0</v>
      </c>
      <c r="S29" s="65"/>
      <c r="T29" s="65">
        <f t="shared" si="4"/>
        <v>0</v>
      </c>
      <c r="U29" s="66"/>
      <c r="V29" s="66"/>
      <c r="W29" s="66">
        <f t="shared" si="5"/>
        <v>0</v>
      </c>
      <c r="X29" s="65"/>
      <c r="Y29" s="65"/>
      <c r="Z29" s="65">
        <f t="shared" si="6"/>
        <v>0</v>
      </c>
      <c r="AA29" s="66"/>
      <c r="AB29" s="66"/>
      <c r="AC29" s="66">
        <f t="shared" si="7"/>
        <v>0</v>
      </c>
      <c r="AD29" s="65"/>
      <c r="AE29" s="65"/>
      <c r="AF29" s="65">
        <f t="shared" si="8"/>
        <v>0</v>
      </c>
      <c r="AG29" s="66"/>
      <c r="AH29" s="66"/>
      <c r="AI29" s="66">
        <f t="shared" si="9"/>
        <v>0</v>
      </c>
      <c r="AJ29" s="65"/>
      <c r="AK29" s="65"/>
      <c r="AL29" s="65">
        <f t="shared" si="10"/>
        <v>0</v>
      </c>
      <c r="AM29" s="66"/>
      <c r="AN29" s="66"/>
      <c r="AO29" s="66">
        <f t="shared" si="17"/>
        <v>0</v>
      </c>
    </row>
    <row r="30" spans="1:41" s="58" customFormat="1" ht="17.25" x14ac:dyDescent="0.3">
      <c r="A30" s="68" t="s">
        <v>63</v>
      </c>
      <c r="B30" s="16"/>
      <c r="C30" s="14">
        <f>H30+K30+N30+Q30+T30+W30+Z30+AC30+AF30+AI30+AL30+AO30</f>
        <v>1429768</v>
      </c>
      <c r="D30" s="19">
        <v>20000</v>
      </c>
      <c r="E30" s="3"/>
      <c r="F30" s="65">
        <f>410570+19121</f>
        <v>429691</v>
      </c>
      <c r="G30" s="120">
        <v>-41431</v>
      </c>
      <c r="H30" s="65">
        <f t="shared" si="0"/>
        <v>388260</v>
      </c>
      <c r="I30" s="66">
        <v>439918</v>
      </c>
      <c r="J30" s="66"/>
      <c r="K30" s="66">
        <f t="shared" si="1"/>
        <v>439918</v>
      </c>
      <c r="L30" s="65">
        <v>2001</v>
      </c>
      <c r="M30" s="65"/>
      <c r="N30" s="65">
        <f t="shared" si="2"/>
        <v>2001</v>
      </c>
      <c r="O30" s="66">
        <v>361459</v>
      </c>
      <c r="P30" s="66"/>
      <c r="Q30" s="66">
        <f t="shared" si="3"/>
        <v>361459</v>
      </c>
      <c r="R30" s="65">
        <v>168439</v>
      </c>
      <c r="S30" s="65"/>
      <c r="T30" s="65">
        <f t="shared" si="4"/>
        <v>168439</v>
      </c>
      <c r="U30" s="66">
        <v>23250</v>
      </c>
      <c r="V30" s="66"/>
      <c r="W30" s="66">
        <f t="shared" si="5"/>
        <v>23250</v>
      </c>
      <c r="X30" s="65">
        <v>40686</v>
      </c>
      <c r="Y30" s="65"/>
      <c r="Z30" s="65">
        <f t="shared" si="6"/>
        <v>40686</v>
      </c>
      <c r="AA30" s="66">
        <v>5755</v>
      </c>
      <c r="AB30" s="66"/>
      <c r="AC30" s="66">
        <f t="shared" si="7"/>
        <v>5755</v>
      </c>
      <c r="AD30" s="65"/>
      <c r="AE30" s="65"/>
      <c r="AF30" s="65">
        <f t="shared" si="8"/>
        <v>0</v>
      </c>
      <c r="AG30" s="66"/>
      <c r="AH30" s="66"/>
      <c r="AI30" s="66">
        <f t="shared" si="9"/>
        <v>0</v>
      </c>
      <c r="AJ30" s="65"/>
      <c r="AK30" s="65"/>
      <c r="AL30" s="65">
        <f t="shared" si="10"/>
        <v>0</v>
      </c>
      <c r="AM30" s="66"/>
      <c r="AN30" s="66"/>
      <c r="AO30" s="66">
        <f t="shared" si="17"/>
        <v>0</v>
      </c>
    </row>
    <row r="31" spans="1:41" s="58" customFormat="1" ht="17.25" x14ac:dyDescent="0.3">
      <c r="A31" s="4" t="s">
        <v>7</v>
      </c>
      <c r="B31" s="16"/>
      <c r="C31" s="17">
        <f>SUM(C26:C30)</f>
        <v>2846142</v>
      </c>
      <c r="D31" s="17">
        <f>SUM(D27:D30)</f>
        <v>100000</v>
      </c>
      <c r="E31" s="3"/>
      <c r="F31" s="17">
        <f t="shared" ref="F31:AO31" si="18">SUM(F26:F30)</f>
        <v>1139197</v>
      </c>
      <c r="G31" s="17">
        <f t="shared" si="18"/>
        <v>-41431</v>
      </c>
      <c r="H31" s="17">
        <f t="shared" si="18"/>
        <v>1097766</v>
      </c>
      <c r="I31" s="17">
        <f t="shared" si="18"/>
        <v>597024</v>
      </c>
      <c r="J31" s="17">
        <f t="shared" si="18"/>
        <v>0</v>
      </c>
      <c r="K31" s="17">
        <f t="shared" si="18"/>
        <v>597024</v>
      </c>
      <c r="L31" s="17">
        <f t="shared" si="18"/>
        <v>4161</v>
      </c>
      <c r="M31" s="17">
        <f t="shared" si="18"/>
        <v>0</v>
      </c>
      <c r="N31" s="17">
        <f t="shared" si="18"/>
        <v>4161</v>
      </c>
      <c r="O31" s="17">
        <f t="shared" si="18"/>
        <v>657139</v>
      </c>
      <c r="P31" s="17">
        <f t="shared" si="18"/>
        <v>0</v>
      </c>
      <c r="Q31" s="17">
        <f t="shared" si="18"/>
        <v>657139</v>
      </c>
      <c r="R31" s="17">
        <f t="shared" si="18"/>
        <v>413361</v>
      </c>
      <c r="S31" s="17">
        <f t="shared" si="18"/>
        <v>0</v>
      </c>
      <c r="T31" s="17">
        <f t="shared" si="18"/>
        <v>413361</v>
      </c>
      <c r="U31" s="17">
        <f t="shared" si="18"/>
        <v>23250</v>
      </c>
      <c r="V31" s="17">
        <f t="shared" si="18"/>
        <v>0</v>
      </c>
      <c r="W31" s="17">
        <f t="shared" si="18"/>
        <v>23250</v>
      </c>
      <c r="X31" s="17">
        <f t="shared" si="18"/>
        <v>40686</v>
      </c>
      <c r="Y31" s="17">
        <f t="shared" si="18"/>
        <v>0</v>
      </c>
      <c r="Z31" s="17">
        <f t="shared" si="18"/>
        <v>40686</v>
      </c>
      <c r="AA31" s="17">
        <f t="shared" si="18"/>
        <v>12755</v>
      </c>
      <c r="AB31" s="17">
        <f t="shared" si="18"/>
        <v>0</v>
      </c>
      <c r="AC31" s="17">
        <f t="shared" si="18"/>
        <v>12755</v>
      </c>
      <c r="AD31" s="17">
        <f t="shared" si="18"/>
        <v>0</v>
      </c>
      <c r="AE31" s="17">
        <f t="shared" si="18"/>
        <v>0</v>
      </c>
      <c r="AF31" s="17">
        <f t="shared" si="18"/>
        <v>0</v>
      </c>
      <c r="AG31" s="17">
        <f t="shared" si="18"/>
        <v>0</v>
      </c>
      <c r="AH31" s="17">
        <f t="shared" si="18"/>
        <v>0</v>
      </c>
      <c r="AI31" s="17">
        <f t="shared" si="18"/>
        <v>0</v>
      </c>
      <c r="AJ31" s="17">
        <f t="shared" si="18"/>
        <v>0</v>
      </c>
      <c r="AK31" s="17">
        <f t="shared" si="18"/>
        <v>0</v>
      </c>
      <c r="AL31" s="17">
        <f t="shared" si="18"/>
        <v>0</v>
      </c>
      <c r="AM31" s="17">
        <f t="shared" si="18"/>
        <v>0</v>
      </c>
      <c r="AN31" s="17">
        <f t="shared" si="18"/>
        <v>0</v>
      </c>
      <c r="AO31" s="17">
        <f t="shared" si="18"/>
        <v>0</v>
      </c>
    </row>
    <row r="32" spans="1:41" s="58" customFormat="1" ht="17.25" x14ac:dyDescent="0.3">
      <c r="A32" s="15"/>
      <c r="B32" s="16"/>
      <c r="C32" s="20"/>
      <c r="D32" s="20"/>
      <c r="E32" s="3"/>
      <c r="F32" s="65"/>
      <c r="G32" s="65"/>
      <c r="H32" s="65">
        <f t="shared" si="0"/>
        <v>0</v>
      </c>
      <c r="I32" s="66"/>
      <c r="J32" s="66"/>
      <c r="K32" s="66">
        <f t="shared" si="1"/>
        <v>0</v>
      </c>
      <c r="L32" s="65"/>
      <c r="M32" s="65"/>
      <c r="N32" s="65">
        <f t="shared" si="2"/>
        <v>0</v>
      </c>
      <c r="O32" s="66"/>
      <c r="P32" s="66"/>
      <c r="Q32" s="66">
        <f t="shared" si="3"/>
        <v>0</v>
      </c>
      <c r="R32" s="65"/>
      <c r="S32" s="65"/>
      <c r="T32" s="65">
        <f t="shared" si="4"/>
        <v>0</v>
      </c>
      <c r="U32" s="66"/>
      <c r="V32" s="66"/>
      <c r="W32" s="66">
        <f t="shared" si="5"/>
        <v>0</v>
      </c>
      <c r="X32" s="65"/>
      <c r="Y32" s="65"/>
      <c r="Z32" s="65">
        <f t="shared" si="6"/>
        <v>0</v>
      </c>
      <c r="AA32" s="66"/>
      <c r="AB32" s="66"/>
      <c r="AC32" s="66">
        <f t="shared" si="7"/>
        <v>0</v>
      </c>
      <c r="AD32" s="65"/>
      <c r="AE32" s="65"/>
      <c r="AF32" s="65">
        <f t="shared" si="8"/>
        <v>0</v>
      </c>
      <c r="AG32" s="66"/>
      <c r="AH32" s="66"/>
      <c r="AI32" s="66">
        <f t="shared" si="9"/>
        <v>0</v>
      </c>
      <c r="AJ32" s="65"/>
      <c r="AK32" s="65"/>
      <c r="AL32" s="65">
        <f t="shared" si="10"/>
        <v>0</v>
      </c>
      <c r="AM32" s="66"/>
      <c r="AN32" s="66"/>
      <c r="AO32" s="66">
        <f t="shared" ref="AO32" si="19">AM32+AN32</f>
        <v>0</v>
      </c>
    </row>
    <row r="33" spans="1:41" s="58" customFormat="1" ht="17.25" x14ac:dyDescent="0.3">
      <c r="A33" s="4" t="s">
        <v>8</v>
      </c>
      <c r="B33" s="16"/>
      <c r="C33" s="21">
        <f>C22-C31</f>
        <v>382102</v>
      </c>
      <c r="D33" s="21">
        <f>D22-D31</f>
        <v>280000</v>
      </c>
      <c r="E33" s="3"/>
      <c r="F33" s="21">
        <f t="shared" ref="F33:AO33" si="20">F22-F31</f>
        <v>-132907</v>
      </c>
      <c r="G33" s="21">
        <f t="shared" si="20"/>
        <v>-58569</v>
      </c>
      <c r="H33" s="21">
        <f t="shared" si="20"/>
        <v>-191476</v>
      </c>
      <c r="I33" s="21">
        <f t="shared" si="20"/>
        <v>24237</v>
      </c>
      <c r="J33" s="21">
        <f t="shared" si="20"/>
        <v>0</v>
      </c>
      <c r="K33" s="21">
        <f t="shared" si="20"/>
        <v>24237</v>
      </c>
      <c r="L33" s="21">
        <f t="shared" si="20"/>
        <v>-294</v>
      </c>
      <c r="M33" s="21">
        <f t="shared" si="20"/>
        <v>0</v>
      </c>
      <c r="N33" s="21">
        <f t="shared" si="20"/>
        <v>-294</v>
      </c>
      <c r="O33" s="21">
        <f t="shared" si="20"/>
        <v>287733</v>
      </c>
      <c r="P33" s="21">
        <f t="shared" si="20"/>
        <v>-400000</v>
      </c>
      <c r="Q33" s="21">
        <f t="shared" si="20"/>
        <v>-112267</v>
      </c>
      <c r="R33" s="21">
        <f t="shared" si="20"/>
        <v>680444</v>
      </c>
      <c r="S33" s="21">
        <f t="shared" si="20"/>
        <v>0</v>
      </c>
      <c r="T33" s="21">
        <f t="shared" si="20"/>
        <v>680444</v>
      </c>
      <c r="U33" s="21">
        <f t="shared" si="20"/>
        <v>33181</v>
      </c>
      <c r="V33" s="21">
        <f t="shared" si="20"/>
        <v>-41431</v>
      </c>
      <c r="W33" s="21">
        <f t="shared" si="20"/>
        <v>-8250</v>
      </c>
      <c r="X33" s="21">
        <f t="shared" si="20"/>
        <v>-15186</v>
      </c>
      <c r="Y33" s="21">
        <f t="shared" si="20"/>
        <v>0</v>
      </c>
      <c r="Z33" s="21">
        <f t="shared" si="20"/>
        <v>-15186</v>
      </c>
      <c r="AA33" s="21">
        <f t="shared" si="20"/>
        <v>4894</v>
      </c>
      <c r="AB33" s="21">
        <f t="shared" si="20"/>
        <v>0</v>
      </c>
      <c r="AC33" s="21">
        <f t="shared" si="20"/>
        <v>4894</v>
      </c>
      <c r="AD33" s="21">
        <f t="shared" si="20"/>
        <v>0</v>
      </c>
      <c r="AE33" s="21">
        <f t="shared" si="20"/>
        <v>0</v>
      </c>
      <c r="AF33" s="21">
        <f t="shared" si="20"/>
        <v>0</v>
      </c>
      <c r="AG33" s="21">
        <f t="shared" si="20"/>
        <v>0</v>
      </c>
      <c r="AH33" s="21">
        <f t="shared" si="20"/>
        <v>0</v>
      </c>
      <c r="AI33" s="21">
        <f t="shared" si="20"/>
        <v>0</v>
      </c>
      <c r="AJ33" s="21">
        <f t="shared" si="20"/>
        <v>0</v>
      </c>
      <c r="AK33" s="21">
        <f t="shared" si="20"/>
        <v>0</v>
      </c>
      <c r="AL33" s="21">
        <f t="shared" si="20"/>
        <v>0</v>
      </c>
      <c r="AM33" s="21">
        <f t="shared" si="20"/>
        <v>0</v>
      </c>
      <c r="AN33" s="21">
        <f t="shared" si="20"/>
        <v>0</v>
      </c>
      <c r="AO33" s="21">
        <f t="shared" si="20"/>
        <v>0</v>
      </c>
    </row>
    <row r="34" spans="1:41" s="58" customFormat="1" ht="17.25" x14ac:dyDescent="0.3">
      <c r="A34" s="22"/>
      <c r="B34" s="16"/>
      <c r="C34" s="18"/>
      <c r="D34" s="18"/>
      <c r="E34" s="3"/>
      <c r="F34" s="65"/>
      <c r="G34" s="65"/>
      <c r="H34" s="65"/>
      <c r="I34" s="66"/>
      <c r="J34" s="66"/>
      <c r="K34" s="66"/>
      <c r="L34" s="65"/>
      <c r="M34" s="65"/>
      <c r="N34" s="65"/>
      <c r="O34" s="66"/>
      <c r="P34" s="66"/>
      <c r="Q34" s="66"/>
      <c r="R34" s="65"/>
      <c r="S34" s="65"/>
      <c r="T34" s="65"/>
      <c r="U34" s="66"/>
      <c r="V34" s="66"/>
      <c r="W34" s="66"/>
      <c r="X34" s="65"/>
      <c r="Y34" s="65"/>
      <c r="Z34" s="65"/>
      <c r="AA34" s="66"/>
      <c r="AB34" s="66"/>
      <c r="AC34" s="66"/>
      <c r="AD34" s="65"/>
      <c r="AE34" s="65"/>
      <c r="AF34" s="65"/>
      <c r="AG34" s="66"/>
      <c r="AH34" s="66"/>
      <c r="AI34" s="66"/>
      <c r="AJ34" s="65"/>
      <c r="AK34" s="65"/>
      <c r="AL34" s="65"/>
      <c r="AM34" s="66"/>
      <c r="AN34" s="66"/>
      <c r="AO34" s="66"/>
    </row>
    <row r="35" spans="1:41" s="58" customFormat="1" ht="17.25" x14ac:dyDescent="0.3">
      <c r="A35" s="4" t="s">
        <v>9</v>
      </c>
      <c r="B35" s="16"/>
      <c r="C35" s="19"/>
      <c r="D35" s="19"/>
      <c r="E35" s="3"/>
      <c r="F35" s="65"/>
      <c r="G35" s="65"/>
      <c r="H35" s="65"/>
      <c r="I35" s="66"/>
      <c r="J35" s="66"/>
      <c r="K35" s="66"/>
      <c r="L35" s="65"/>
      <c r="M35" s="65"/>
      <c r="N35" s="65"/>
      <c r="O35" s="66"/>
      <c r="P35" s="66"/>
      <c r="Q35" s="66"/>
      <c r="R35" s="65"/>
      <c r="S35" s="65"/>
      <c r="T35" s="65"/>
      <c r="U35" s="66"/>
      <c r="V35" s="66"/>
      <c r="W35" s="66"/>
      <c r="X35" s="65"/>
      <c r="Y35" s="65"/>
      <c r="Z35" s="65"/>
      <c r="AA35" s="66"/>
      <c r="AB35" s="66"/>
      <c r="AC35" s="66"/>
      <c r="AD35" s="65"/>
      <c r="AE35" s="65"/>
      <c r="AF35" s="65"/>
      <c r="AG35" s="66"/>
      <c r="AH35" s="66"/>
      <c r="AI35" s="66"/>
      <c r="AJ35" s="65"/>
      <c r="AK35" s="65"/>
      <c r="AL35" s="65"/>
      <c r="AM35" s="66"/>
      <c r="AN35" s="66"/>
      <c r="AO35" s="66"/>
    </row>
    <row r="36" spans="1:41" s="58" customFormat="1" ht="17.25" x14ac:dyDescent="0.3">
      <c r="A36" s="4"/>
      <c r="B36" s="16"/>
      <c r="C36" s="19"/>
      <c r="D36" s="19"/>
      <c r="E36" s="3"/>
      <c r="F36" s="65"/>
      <c r="G36" s="65"/>
      <c r="H36" s="65"/>
      <c r="I36" s="66"/>
      <c r="J36" s="66"/>
      <c r="K36" s="66"/>
      <c r="L36" s="65"/>
      <c r="M36" s="65"/>
      <c r="N36" s="65"/>
      <c r="O36" s="66"/>
      <c r="P36" s="66"/>
      <c r="Q36" s="66"/>
      <c r="R36" s="65"/>
      <c r="S36" s="65"/>
      <c r="T36" s="65"/>
      <c r="U36" s="66"/>
      <c r="V36" s="66"/>
      <c r="W36" s="66"/>
      <c r="X36" s="65"/>
      <c r="Y36" s="65"/>
      <c r="Z36" s="65"/>
      <c r="AA36" s="66"/>
      <c r="AB36" s="66"/>
      <c r="AC36" s="66"/>
      <c r="AD36" s="65"/>
      <c r="AE36" s="65"/>
      <c r="AF36" s="65"/>
      <c r="AG36" s="66"/>
      <c r="AH36" s="66"/>
      <c r="AI36" s="66"/>
      <c r="AJ36" s="65"/>
      <c r="AK36" s="65"/>
      <c r="AL36" s="65"/>
      <c r="AM36" s="66"/>
      <c r="AN36" s="66"/>
      <c r="AO36" s="66"/>
    </row>
    <row r="37" spans="1:41" s="58" customFormat="1" ht="17.25" x14ac:dyDescent="0.3">
      <c r="A37" s="15" t="s">
        <v>10</v>
      </c>
      <c r="B37" s="16"/>
      <c r="C37" s="14">
        <f>H37+K37+N37+Q37+T37+W37+Z37+AC37+AF37+AI37+AL37+AO37</f>
        <v>4216</v>
      </c>
      <c r="D37" s="19">
        <v>0</v>
      </c>
      <c r="E37" s="3"/>
      <c r="F37" s="65">
        <v>0</v>
      </c>
      <c r="G37" s="65"/>
      <c r="H37" s="65">
        <f t="shared" si="0"/>
        <v>0</v>
      </c>
      <c r="I37" s="66">
        <v>189</v>
      </c>
      <c r="J37" s="66"/>
      <c r="K37" s="66">
        <f t="shared" si="1"/>
        <v>189</v>
      </c>
      <c r="L37" s="65">
        <v>15</v>
      </c>
      <c r="M37" s="65"/>
      <c r="N37" s="65">
        <f t="shared" si="2"/>
        <v>15</v>
      </c>
      <c r="O37" s="66">
        <v>3651</v>
      </c>
      <c r="P37" s="66"/>
      <c r="Q37" s="66">
        <f t="shared" si="3"/>
        <v>3651</v>
      </c>
      <c r="R37" s="65">
        <v>257</v>
      </c>
      <c r="S37" s="65"/>
      <c r="T37" s="65">
        <f t="shared" si="4"/>
        <v>257</v>
      </c>
      <c r="U37" s="66">
        <v>2</v>
      </c>
      <c r="V37" s="66"/>
      <c r="W37" s="66">
        <f t="shared" si="5"/>
        <v>2</v>
      </c>
      <c r="X37" s="65">
        <v>70</v>
      </c>
      <c r="Y37" s="65"/>
      <c r="Z37" s="65">
        <f t="shared" si="6"/>
        <v>70</v>
      </c>
      <c r="AA37" s="66">
        <v>32</v>
      </c>
      <c r="AB37" s="66"/>
      <c r="AC37" s="66">
        <f t="shared" si="7"/>
        <v>32</v>
      </c>
      <c r="AD37" s="65"/>
      <c r="AE37" s="65"/>
      <c r="AF37" s="65">
        <f t="shared" si="8"/>
        <v>0</v>
      </c>
      <c r="AG37" s="66"/>
      <c r="AH37" s="66"/>
      <c r="AI37" s="66">
        <f t="shared" si="9"/>
        <v>0</v>
      </c>
      <c r="AJ37" s="65"/>
      <c r="AK37" s="65"/>
      <c r="AL37" s="65">
        <f t="shared" si="10"/>
        <v>0</v>
      </c>
      <c r="AM37" s="66"/>
      <c r="AN37" s="66"/>
      <c r="AO37" s="66">
        <f t="shared" ref="AO37:AO39" si="21">AM37+AN37</f>
        <v>0</v>
      </c>
    </row>
    <row r="38" spans="1:41" s="58" customFormat="1" ht="17.25" x14ac:dyDescent="0.3">
      <c r="A38" s="68" t="s">
        <v>64</v>
      </c>
      <c r="B38" s="16"/>
      <c r="C38" s="14">
        <f>H38+K38+N38+Q38+T38+W38+Z38+AC38+AF38+AI38+AL38+AO38</f>
        <v>119632</v>
      </c>
      <c r="D38" s="19"/>
      <c r="E38" s="3"/>
      <c r="F38" s="65">
        <v>116598</v>
      </c>
      <c r="G38" s="65"/>
      <c r="H38" s="65">
        <f t="shared" si="0"/>
        <v>116598</v>
      </c>
      <c r="I38" s="66">
        <v>1311</v>
      </c>
      <c r="J38" s="66"/>
      <c r="K38" s="66">
        <f t="shared" si="1"/>
        <v>1311</v>
      </c>
      <c r="L38" s="65">
        <v>0</v>
      </c>
      <c r="M38" s="65"/>
      <c r="N38" s="65">
        <f t="shared" si="2"/>
        <v>0</v>
      </c>
      <c r="O38" s="66">
        <v>1300</v>
      </c>
      <c r="P38" s="66"/>
      <c r="Q38" s="66">
        <f t="shared" si="3"/>
        <v>1300</v>
      </c>
      <c r="R38" s="65">
        <v>423</v>
      </c>
      <c r="S38" s="65"/>
      <c r="T38" s="65">
        <f t="shared" si="4"/>
        <v>423</v>
      </c>
      <c r="U38" s="66">
        <v>0</v>
      </c>
      <c r="V38" s="66"/>
      <c r="W38" s="66">
        <f t="shared" si="5"/>
        <v>0</v>
      </c>
      <c r="X38" s="65"/>
      <c r="Y38" s="65"/>
      <c r="Z38" s="65">
        <f t="shared" si="6"/>
        <v>0</v>
      </c>
      <c r="AA38" s="66">
        <v>0</v>
      </c>
      <c r="AB38" s="66"/>
      <c r="AC38" s="66">
        <f t="shared" si="7"/>
        <v>0</v>
      </c>
      <c r="AD38" s="65"/>
      <c r="AE38" s="65"/>
      <c r="AF38" s="65">
        <f t="shared" si="8"/>
        <v>0</v>
      </c>
      <c r="AG38" s="66"/>
      <c r="AH38" s="66"/>
      <c r="AI38" s="66">
        <f t="shared" si="9"/>
        <v>0</v>
      </c>
      <c r="AJ38" s="65"/>
      <c r="AK38" s="65"/>
      <c r="AL38" s="65">
        <f t="shared" si="10"/>
        <v>0</v>
      </c>
      <c r="AM38" s="66"/>
      <c r="AN38" s="66"/>
      <c r="AO38" s="66">
        <f t="shared" si="21"/>
        <v>0</v>
      </c>
    </row>
    <row r="39" spans="1:41" s="58" customFormat="1" ht="17.25" x14ac:dyDescent="0.3">
      <c r="A39" s="68" t="s">
        <v>65</v>
      </c>
      <c r="B39" s="16"/>
      <c r="C39" s="14">
        <f>H39+K39+N39+Q39+T39+W39+Z39+AC39+AF39+AI39+AL39+AO39</f>
        <v>0</v>
      </c>
      <c r="D39" s="19"/>
      <c r="E39" s="3"/>
      <c r="F39" s="65"/>
      <c r="G39" s="65"/>
      <c r="H39" s="65">
        <f t="shared" si="0"/>
        <v>0</v>
      </c>
      <c r="I39" s="66"/>
      <c r="J39" s="66"/>
      <c r="K39" s="66">
        <f t="shared" si="1"/>
        <v>0</v>
      </c>
      <c r="L39" s="65">
        <v>0</v>
      </c>
      <c r="M39" s="65"/>
      <c r="N39" s="65">
        <f t="shared" si="2"/>
        <v>0</v>
      </c>
      <c r="O39" s="66">
        <v>0</v>
      </c>
      <c r="P39" s="66"/>
      <c r="Q39" s="66">
        <f t="shared" si="3"/>
        <v>0</v>
      </c>
      <c r="R39" s="65">
        <v>0</v>
      </c>
      <c r="S39" s="65"/>
      <c r="T39" s="65">
        <f t="shared" si="4"/>
        <v>0</v>
      </c>
      <c r="U39" s="66">
        <v>0</v>
      </c>
      <c r="V39" s="66"/>
      <c r="W39" s="66">
        <f t="shared" si="5"/>
        <v>0</v>
      </c>
      <c r="X39" s="65"/>
      <c r="Y39" s="65"/>
      <c r="Z39" s="65">
        <f t="shared" si="6"/>
        <v>0</v>
      </c>
      <c r="AA39" s="66">
        <v>0</v>
      </c>
      <c r="AB39" s="66"/>
      <c r="AC39" s="66">
        <f t="shared" si="7"/>
        <v>0</v>
      </c>
      <c r="AD39" s="65"/>
      <c r="AE39" s="65"/>
      <c r="AF39" s="65">
        <f t="shared" si="8"/>
        <v>0</v>
      </c>
      <c r="AG39" s="66"/>
      <c r="AH39" s="66"/>
      <c r="AI39" s="66">
        <f t="shared" si="9"/>
        <v>0</v>
      </c>
      <c r="AJ39" s="65"/>
      <c r="AK39" s="65"/>
      <c r="AL39" s="65">
        <f t="shared" si="10"/>
        <v>0</v>
      </c>
      <c r="AM39" s="66"/>
      <c r="AN39" s="66"/>
      <c r="AO39" s="66">
        <f t="shared" si="21"/>
        <v>0</v>
      </c>
    </row>
    <row r="40" spans="1:41" s="58" customFormat="1" ht="17.25" x14ac:dyDescent="0.3">
      <c r="A40" s="4" t="s">
        <v>11</v>
      </c>
      <c r="B40" s="16"/>
      <c r="C40" s="17">
        <f>C37-C38-C39</f>
        <v>-115416</v>
      </c>
      <c r="D40" s="17">
        <f>SUM(D37:D37)</f>
        <v>0</v>
      </c>
      <c r="E40" s="3"/>
      <c r="F40" s="17">
        <f t="shared" ref="F40:AO40" si="22">F37-F38-F39</f>
        <v>-116598</v>
      </c>
      <c r="G40" s="17">
        <f t="shared" si="22"/>
        <v>0</v>
      </c>
      <c r="H40" s="17">
        <f t="shared" si="22"/>
        <v>-116598</v>
      </c>
      <c r="I40" s="17">
        <f t="shared" si="22"/>
        <v>-1122</v>
      </c>
      <c r="J40" s="17">
        <f t="shared" si="22"/>
        <v>0</v>
      </c>
      <c r="K40" s="17">
        <f t="shared" si="22"/>
        <v>-1122</v>
      </c>
      <c r="L40" s="17">
        <f t="shared" si="22"/>
        <v>15</v>
      </c>
      <c r="M40" s="17">
        <f t="shared" si="22"/>
        <v>0</v>
      </c>
      <c r="N40" s="17">
        <f t="shared" si="22"/>
        <v>15</v>
      </c>
      <c r="O40" s="17">
        <f t="shared" si="22"/>
        <v>2351</v>
      </c>
      <c r="P40" s="17">
        <f t="shared" si="22"/>
        <v>0</v>
      </c>
      <c r="Q40" s="17">
        <f t="shared" si="22"/>
        <v>2351</v>
      </c>
      <c r="R40" s="17">
        <f t="shared" si="22"/>
        <v>-166</v>
      </c>
      <c r="S40" s="17">
        <f t="shared" si="22"/>
        <v>0</v>
      </c>
      <c r="T40" s="17">
        <f t="shared" si="22"/>
        <v>-166</v>
      </c>
      <c r="U40" s="17">
        <f t="shared" si="22"/>
        <v>2</v>
      </c>
      <c r="V40" s="17">
        <f t="shared" si="22"/>
        <v>0</v>
      </c>
      <c r="W40" s="17">
        <f t="shared" si="22"/>
        <v>2</v>
      </c>
      <c r="X40" s="17">
        <f t="shared" si="22"/>
        <v>70</v>
      </c>
      <c r="Y40" s="17">
        <f t="shared" si="22"/>
        <v>0</v>
      </c>
      <c r="Z40" s="17">
        <f t="shared" si="22"/>
        <v>70</v>
      </c>
      <c r="AA40" s="17">
        <f t="shared" si="22"/>
        <v>32</v>
      </c>
      <c r="AB40" s="17">
        <f t="shared" si="22"/>
        <v>0</v>
      </c>
      <c r="AC40" s="17">
        <f t="shared" si="22"/>
        <v>32</v>
      </c>
      <c r="AD40" s="17">
        <f t="shared" si="22"/>
        <v>0</v>
      </c>
      <c r="AE40" s="17">
        <f t="shared" si="22"/>
        <v>0</v>
      </c>
      <c r="AF40" s="17">
        <f t="shared" si="22"/>
        <v>0</v>
      </c>
      <c r="AG40" s="17">
        <f t="shared" si="22"/>
        <v>0</v>
      </c>
      <c r="AH40" s="17">
        <f t="shared" si="22"/>
        <v>0</v>
      </c>
      <c r="AI40" s="17">
        <f t="shared" si="22"/>
        <v>0</v>
      </c>
      <c r="AJ40" s="17">
        <f t="shared" si="22"/>
        <v>0</v>
      </c>
      <c r="AK40" s="17">
        <f t="shared" si="22"/>
        <v>0</v>
      </c>
      <c r="AL40" s="17">
        <f t="shared" si="22"/>
        <v>0</v>
      </c>
      <c r="AM40" s="17">
        <f t="shared" si="22"/>
        <v>0</v>
      </c>
      <c r="AN40" s="17">
        <f t="shared" si="22"/>
        <v>0</v>
      </c>
      <c r="AO40" s="17">
        <f t="shared" si="22"/>
        <v>0</v>
      </c>
    </row>
    <row r="41" spans="1:41" s="58" customFormat="1" ht="17.25" x14ac:dyDescent="0.3">
      <c r="A41" s="15"/>
      <c r="B41" s="16"/>
      <c r="C41" s="18"/>
      <c r="D41" s="18"/>
      <c r="E41" s="3"/>
      <c r="F41" s="65"/>
      <c r="G41" s="65"/>
      <c r="H41" s="65">
        <f t="shared" si="0"/>
        <v>0</v>
      </c>
      <c r="I41" s="66"/>
      <c r="J41" s="66"/>
      <c r="K41" s="66">
        <f t="shared" si="1"/>
        <v>0</v>
      </c>
      <c r="L41" s="65"/>
      <c r="M41" s="65"/>
      <c r="N41" s="65">
        <f t="shared" si="2"/>
        <v>0</v>
      </c>
      <c r="O41" s="66"/>
      <c r="P41" s="66"/>
      <c r="Q41" s="66">
        <f t="shared" si="3"/>
        <v>0</v>
      </c>
      <c r="R41" s="65"/>
      <c r="S41" s="65"/>
      <c r="T41" s="65">
        <f t="shared" si="4"/>
        <v>0</v>
      </c>
      <c r="U41" s="66"/>
      <c r="V41" s="66"/>
      <c r="W41" s="66">
        <f t="shared" si="5"/>
        <v>0</v>
      </c>
      <c r="X41" s="65"/>
      <c r="Y41" s="65"/>
      <c r="Z41" s="65">
        <f t="shared" si="6"/>
        <v>0</v>
      </c>
      <c r="AA41" s="66"/>
      <c r="AB41" s="66"/>
      <c r="AC41" s="66">
        <f t="shared" si="7"/>
        <v>0</v>
      </c>
      <c r="AD41" s="65"/>
      <c r="AE41" s="65"/>
      <c r="AF41" s="65">
        <f t="shared" si="8"/>
        <v>0</v>
      </c>
      <c r="AG41" s="66"/>
      <c r="AH41" s="66"/>
      <c r="AI41" s="66">
        <f t="shared" si="9"/>
        <v>0</v>
      </c>
      <c r="AJ41" s="65"/>
      <c r="AK41" s="65"/>
      <c r="AL41" s="65">
        <f t="shared" si="10"/>
        <v>0</v>
      </c>
      <c r="AM41" s="66"/>
      <c r="AN41" s="66"/>
      <c r="AO41" s="66">
        <f t="shared" ref="AO41" si="23">AM41+AN41</f>
        <v>0</v>
      </c>
    </row>
    <row r="42" spans="1:41" s="58" customFormat="1" ht="18" thickBot="1" x14ac:dyDescent="0.35">
      <c r="A42" s="4" t="s">
        <v>12</v>
      </c>
      <c r="B42" s="16"/>
      <c r="C42" s="23">
        <f>C33+C40</f>
        <v>266686</v>
      </c>
      <c r="D42" s="23">
        <f>D33+D40</f>
        <v>280000</v>
      </c>
      <c r="E42" s="3"/>
      <c r="F42" s="23">
        <f t="shared" ref="F42:AO42" si="24">F33+F40</f>
        <v>-249505</v>
      </c>
      <c r="G42" s="23">
        <f t="shared" si="24"/>
        <v>-58569</v>
      </c>
      <c r="H42" s="23">
        <f t="shared" si="24"/>
        <v>-308074</v>
      </c>
      <c r="I42" s="23">
        <f t="shared" si="24"/>
        <v>23115</v>
      </c>
      <c r="J42" s="23">
        <f t="shared" si="24"/>
        <v>0</v>
      </c>
      <c r="K42" s="23">
        <f t="shared" si="24"/>
        <v>23115</v>
      </c>
      <c r="L42" s="23">
        <f t="shared" si="24"/>
        <v>-279</v>
      </c>
      <c r="M42" s="23">
        <f t="shared" si="24"/>
        <v>0</v>
      </c>
      <c r="N42" s="23">
        <f t="shared" si="24"/>
        <v>-279</v>
      </c>
      <c r="O42" s="23">
        <f t="shared" si="24"/>
        <v>290084</v>
      </c>
      <c r="P42" s="23">
        <f t="shared" si="24"/>
        <v>-400000</v>
      </c>
      <c r="Q42" s="23">
        <f t="shared" si="24"/>
        <v>-109916</v>
      </c>
      <c r="R42" s="23">
        <f t="shared" si="24"/>
        <v>680278</v>
      </c>
      <c r="S42" s="23">
        <f t="shared" si="24"/>
        <v>0</v>
      </c>
      <c r="T42" s="23">
        <f t="shared" si="24"/>
        <v>680278</v>
      </c>
      <c r="U42" s="23">
        <f t="shared" si="24"/>
        <v>33183</v>
      </c>
      <c r="V42" s="23">
        <f t="shared" si="24"/>
        <v>-41431</v>
      </c>
      <c r="W42" s="23">
        <f t="shared" si="24"/>
        <v>-8248</v>
      </c>
      <c r="X42" s="23">
        <f t="shared" si="24"/>
        <v>-15116</v>
      </c>
      <c r="Y42" s="23">
        <f t="shared" si="24"/>
        <v>0</v>
      </c>
      <c r="Z42" s="23">
        <f t="shared" si="24"/>
        <v>-15116</v>
      </c>
      <c r="AA42" s="23">
        <f t="shared" si="24"/>
        <v>4926</v>
      </c>
      <c r="AB42" s="23">
        <f t="shared" si="24"/>
        <v>0</v>
      </c>
      <c r="AC42" s="23">
        <f t="shared" si="24"/>
        <v>4926</v>
      </c>
      <c r="AD42" s="23">
        <f t="shared" si="24"/>
        <v>0</v>
      </c>
      <c r="AE42" s="23">
        <f t="shared" si="24"/>
        <v>0</v>
      </c>
      <c r="AF42" s="23">
        <f t="shared" si="24"/>
        <v>0</v>
      </c>
      <c r="AG42" s="23">
        <f t="shared" si="24"/>
        <v>0</v>
      </c>
      <c r="AH42" s="23">
        <f t="shared" si="24"/>
        <v>0</v>
      </c>
      <c r="AI42" s="23">
        <f t="shared" si="24"/>
        <v>0</v>
      </c>
      <c r="AJ42" s="23">
        <f t="shared" si="24"/>
        <v>0</v>
      </c>
      <c r="AK42" s="23">
        <f t="shared" si="24"/>
        <v>0</v>
      </c>
      <c r="AL42" s="23">
        <f t="shared" si="24"/>
        <v>0</v>
      </c>
      <c r="AM42" s="23">
        <f t="shared" si="24"/>
        <v>0</v>
      </c>
      <c r="AN42" s="23">
        <f t="shared" si="24"/>
        <v>0</v>
      </c>
      <c r="AO42" s="23">
        <f t="shared" si="24"/>
        <v>0</v>
      </c>
    </row>
    <row r="43" spans="1:41" s="58" customFormat="1" ht="18" thickTop="1" x14ac:dyDescent="0.3">
      <c r="A43" s="15"/>
      <c r="B43" s="16"/>
      <c r="C43" s="24"/>
      <c r="D43" s="24"/>
      <c r="E43" s="3"/>
      <c r="F43" s="65"/>
      <c r="G43" s="65"/>
      <c r="H43" s="65"/>
      <c r="I43" s="66"/>
      <c r="J43" s="66"/>
      <c r="K43" s="66"/>
      <c r="L43" s="65"/>
      <c r="M43" s="65"/>
      <c r="N43" s="65"/>
      <c r="O43" s="66"/>
      <c r="P43" s="66"/>
      <c r="Q43" s="66"/>
      <c r="R43" s="65"/>
      <c r="S43" s="65"/>
      <c r="T43" s="65"/>
      <c r="U43" s="66"/>
      <c r="V43" s="66"/>
      <c r="W43" s="66"/>
      <c r="X43" s="65"/>
      <c r="Y43" s="65"/>
      <c r="Z43" s="65"/>
      <c r="AA43" s="66"/>
      <c r="AB43" s="66"/>
      <c r="AC43" s="66"/>
      <c r="AD43" s="65"/>
      <c r="AE43" s="65"/>
      <c r="AF43" s="65"/>
      <c r="AG43" s="66"/>
      <c r="AH43" s="66"/>
      <c r="AI43" s="66"/>
      <c r="AJ43" s="65"/>
      <c r="AK43" s="65"/>
      <c r="AL43" s="65"/>
      <c r="AM43" s="66"/>
      <c r="AN43" s="66"/>
      <c r="AO43" s="66"/>
    </row>
    <row r="44" spans="1:41" s="58" customFormat="1" ht="17.25" x14ac:dyDescent="0.3">
      <c r="A44" s="15"/>
      <c r="B44" s="16"/>
      <c r="C44" s="24"/>
      <c r="D44" s="24"/>
      <c r="E44" s="3"/>
      <c r="F44" s="65"/>
      <c r="G44" s="65"/>
      <c r="H44" s="65"/>
      <c r="I44" s="66"/>
      <c r="J44" s="66"/>
      <c r="K44" s="66"/>
      <c r="L44" s="65"/>
      <c r="M44" s="65"/>
      <c r="N44" s="65"/>
      <c r="O44" s="66"/>
      <c r="P44" s="66"/>
      <c r="Q44" s="66"/>
      <c r="R44" s="65"/>
      <c r="S44" s="65"/>
      <c r="T44" s="65"/>
      <c r="U44" s="66"/>
      <c r="V44" s="66"/>
      <c r="W44" s="66"/>
      <c r="X44" s="65"/>
      <c r="Y44" s="65"/>
      <c r="Z44" s="65"/>
      <c r="AA44" s="66"/>
      <c r="AB44" s="66"/>
      <c r="AC44" s="66"/>
      <c r="AD44" s="65"/>
      <c r="AE44" s="65"/>
      <c r="AF44" s="65"/>
      <c r="AG44" s="66"/>
      <c r="AH44" s="66"/>
      <c r="AI44" s="66"/>
      <c r="AJ44" s="65"/>
      <c r="AK44" s="65"/>
      <c r="AL44" s="65"/>
      <c r="AM44" s="66"/>
      <c r="AN44" s="66"/>
      <c r="AO44" s="66"/>
    </row>
    <row r="45" spans="1:41" s="58" customFormat="1" ht="17.25" x14ac:dyDescent="0.3">
      <c r="A45" s="4" t="s">
        <v>13</v>
      </c>
      <c r="B45" s="25"/>
      <c r="C45" s="26"/>
      <c r="D45" s="26"/>
      <c r="E45" s="3"/>
      <c r="F45" s="65"/>
      <c r="G45" s="65"/>
      <c r="H45" s="65"/>
      <c r="I45" s="66"/>
      <c r="J45" s="66"/>
      <c r="K45" s="66"/>
      <c r="L45" s="65"/>
      <c r="M45" s="65"/>
      <c r="N45" s="65"/>
      <c r="O45" s="66"/>
      <c r="P45" s="66"/>
      <c r="Q45" s="66"/>
      <c r="R45" s="65"/>
      <c r="S45" s="65"/>
      <c r="T45" s="65"/>
      <c r="U45" s="66"/>
      <c r="V45" s="66"/>
      <c r="W45" s="66"/>
      <c r="X45" s="65"/>
      <c r="Y45" s="65"/>
      <c r="Z45" s="65"/>
      <c r="AA45" s="66"/>
      <c r="AB45" s="66"/>
      <c r="AC45" s="66"/>
      <c r="AD45" s="65"/>
      <c r="AE45" s="65"/>
      <c r="AF45" s="65"/>
      <c r="AG45" s="66"/>
      <c r="AH45" s="66"/>
      <c r="AI45" s="66"/>
      <c r="AJ45" s="65"/>
      <c r="AK45" s="65"/>
      <c r="AL45" s="65"/>
      <c r="AM45" s="66"/>
      <c r="AN45" s="66"/>
      <c r="AO45" s="66"/>
    </row>
    <row r="46" spans="1:41" s="58" customFormat="1" ht="17.25" x14ac:dyDescent="0.3">
      <c r="A46" s="15" t="s">
        <v>14</v>
      </c>
      <c r="B46" s="16"/>
      <c r="C46" s="14">
        <f>H46+K46+N46+Q46+T46+W46+Z46+AC46+AF46+AI46+AL46+AO46</f>
        <v>266686</v>
      </c>
      <c r="D46" s="27">
        <f>D42</f>
        <v>280000</v>
      </c>
      <c r="E46" s="3"/>
      <c r="F46" s="27">
        <f>F42</f>
        <v>-249505</v>
      </c>
      <c r="G46" s="27">
        <f t="shared" ref="G46:AO46" si="25">G42</f>
        <v>-58569</v>
      </c>
      <c r="H46" s="27">
        <f t="shared" si="25"/>
        <v>-308074</v>
      </c>
      <c r="I46" s="27">
        <f t="shared" si="25"/>
        <v>23115</v>
      </c>
      <c r="J46" s="27">
        <f t="shared" si="25"/>
        <v>0</v>
      </c>
      <c r="K46" s="27">
        <f t="shared" si="25"/>
        <v>23115</v>
      </c>
      <c r="L46" s="27">
        <f t="shared" si="25"/>
        <v>-279</v>
      </c>
      <c r="M46" s="27">
        <f t="shared" si="25"/>
        <v>0</v>
      </c>
      <c r="N46" s="27">
        <f>L46+M46</f>
        <v>-279</v>
      </c>
      <c r="O46" s="27">
        <f t="shared" si="25"/>
        <v>290084</v>
      </c>
      <c r="P46" s="27">
        <f t="shared" si="25"/>
        <v>-400000</v>
      </c>
      <c r="Q46" s="27">
        <f t="shared" si="25"/>
        <v>-109916</v>
      </c>
      <c r="R46" s="27">
        <f t="shared" si="25"/>
        <v>680278</v>
      </c>
      <c r="S46" s="121">
        <f>S42</f>
        <v>0</v>
      </c>
      <c r="T46" s="27">
        <f>R46+S46</f>
        <v>680278</v>
      </c>
      <c r="U46" s="27">
        <f t="shared" si="25"/>
        <v>33183</v>
      </c>
      <c r="V46" s="27">
        <f t="shared" si="25"/>
        <v>-41431</v>
      </c>
      <c r="W46" s="27">
        <f t="shared" si="25"/>
        <v>-8248</v>
      </c>
      <c r="X46" s="27">
        <f t="shared" si="25"/>
        <v>-15116</v>
      </c>
      <c r="Y46" s="27">
        <f t="shared" si="25"/>
        <v>0</v>
      </c>
      <c r="Z46" s="27">
        <f t="shared" si="25"/>
        <v>-15116</v>
      </c>
      <c r="AA46" s="27">
        <f t="shared" si="25"/>
        <v>4926</v>
      </c>
      <c r="AB46" s="27">
        <f t="shared" si="25"/>
        <v>0</v>
      </c>
      <c r="AC46" s="27">
        <f t="shared" si="25"/>
        <v>4926</v>
      </c>
      <c r="AD46" s="27">
        <f t="shared" si="25"/>
        <v>0</v>
      </c>
      <c r="AE46" s="27">
        <f t="shared" si="25"/>
        <v>0</v>
      </c>
      <c r="AF46" s="27">
        <f t="shared" si="25"/>
        <v>0</v>
      </c>
      <c r="AG46" s="27">
        <f t="shared" si="25"/>
        <v>0</v>
      </c>
      <c r="AH46" s="27">
        <f t="shared" si="25"/>
        <v>0</v>
      </c>
      <c r="AI46" s="27">
        <f t="shared" si="25"/>
        <v>0</v>
      </c>
      <c r="AJ46" s="27">
        <f t="shared" si="25"/>
        <v>0</v>
      </c>
      <c r="AK46" s="27">
        <f t="shared" si="25"/>
        <v>0</v>
      </c>
      <c r="AL46" s="27">
        <f t="shared" si="25"/>
        <v>0</v>
      </c>
      <c r="AM46" s="27">
        <f t="shared" si="25"/>
        <v>0</v>
      </c>
      <c r="AN46" s="27">
        <f t="shared" si="25"/>
        <v>0</v>
      </c>
      <c r="AO46" s="27">
        <f t="shared" si="25"/>
        <v>0</v>
      </c>
    </row>
    <row r="47" spans="1:41" s="58" customFormat="1" ht="18" thickBot="1" x14ac:dyDescent="0.35">
      <c r="A47" s="4" t="s">
        <v>15</v>
      </c>
      <c r="B47" s="16"/>
      <c r="C47" s="23">
        <f>SUM(C46:C46)</f>
        <v>266686</v>
      </c>
      <c r="D47" s="23">
        <f>D42</f>
        <v>280000</v>
      </c>
      <c r="E47" s="3"/>
      <c r="F47" s="23">
        <f t="shared" ref="F47:AO47" si="26">SUM(F46:F46)</f>
        <v>-249505</v>
      </c>
      <c r="G47" s="23">
        <f t="shared" si="26"/>
        <v>-58569</v>
      </c>
      <c r="H47" s="23">
        <f t="shared" si="26"/>
        <v>-308074</v>
      </c>
      <c r="I47" s="23">
        <f t="shared" si="26"/>
        <v>23115</v>
      </c>
      <c r="J47" s="23">
        <f t="shared" si="26"/>
        <v>0</v>
      </c>
      <c r="K47" s="23">
        <f t="shared" si="26"/>
        <v>23115</v>
      </c>
      <c r="L47" s="23">
        <f t="shared" si="26"/>
        <v>-279</v>
      </c>
      <c r="M47" s="23">
        <f t="shared" si="26"/>
        <v>0</v>
      </c>
      <c r="N47" s="23">
        <f t="shared" si="26"/>
        <v>-279</v>
      </c>
      <c r="O47" s="23">
        <f t="shared" si="26"/>
        <v>290084</v>
      </c>
      <c r="P47" s="23">
        <f t="shared" si="26"/>
        <v>-400000</v>
      </c>
      <c r="Q47" s="23">
        <f t="shared" si="26"/>
        <v>-109916</v>
      </c>
      <c r="R47" s="23">
        <f t="shared" si="26"/>
        <v>680278</v>
      </c>
      <c r="S47" s="23">
        <f t="shared" si="26"/>
        <v>0</v>
      </c>
      <c r="T47" s="23">
        <f t="shared" si="26"/>
        <v>680278</v>
      </c>
      <c r="U47" s="23">
        <f t="shared" si="26"/>
        <v>33183</v>
      </c>
      <c r="V47" s="23">
        <f t="shared" si="26"/>
        <v>-41431</v>
      </c>
      <c r="W47" s="23">
        <f t="shared" si="26"/>
        <v>-8248</v>
      </c>
      <c r="X47" s="23">
        <f t="shared" si="26"/>
        <v>-15116</v>
      </c>
      <c r="Y47" s="23">
        <f t="shared" si="26"/>
        <v>0</v>
      </c>
      <c r="Z47" s="23">
        <f t="shared" si="26"/>
        <v>-15116</v>
      </c>
      <c r="AA47" s="23">
        <f t="shared" si="26"/>
        <v>4926</v>
      </c>
      <c r="AB47" s="23">
        <f t="shared" si="26"/>
        <v>0</v>
      </c>
      <c r="AC47" s="23">
        <f t="shared" si="26"/>
        <v>4926</v>
      </c>
      <c r="AD47" s="23">
        <f t="shared" si="26"/>
        <v>0</v>
      </c>
      <c r="AE47" s="23">
        <f t="shared" si="26"/>
        <v>0</v>
      </c>
      <c r="AF47" s="23">
        <f t="shared" si="26"/>
        <v>0</v>
      </c>
      <c r="AG47" s="23">
        <f t="shared" si="26"/>
        <v>0</v>
      </c>
      <c r="AH47" s="23">
        <f t="shared" si="26"/>
        <v>0</v>
      </c>
      <c r="AI47" s="23">
        <f t="shared" si="26"/>
        <v>0</v>
      </c>
      <c r="AJ47" s="23">
        <f t="shared" si="26"/>
        <v>0</v>
      </c>
      <c r="AK47" s="23">
        <f t="shared" si="26"/>
        <v>0</v>
      </c>
      <c r="AL47" s="23">
        <f t="shared" si="26"/>
        <v>0</v>
      </c>
      <c r="AM47" s="23">
        <f t="shared" si="26"/>
        <v>0</v>
      </c>
      <c r="AN47" s="23">
        <f t="shared" si="26"/>
        <v>0</v>
      </c>
      <c r="AO47" s="23">
        <f t="shared" si="26"/>
        <v>0</v>
      </c>
    </row>
    <row r="48" spans="1:41" s="58" customFormat="1" ht="18" thickTop="1" x14ac:dyDescent="0.3">
      <c r="A48" s="4"/>
      <c r="B48" s="16"/>
      <c r="C48" s="28"/>
      <c r="D48" s="29"/>
      <c r="E48" s="3"/>
      <c r="F48" s="65"/>
      <c r="G48" s="65"/>
      <c r="H48" s="65"/>
      <c r="I48" s="66"/>
      <c r="J48" s="66"/>
      <c r="K48" s="66"/>
      <c r="L48" s="65"/>
      <c r="M48" s="65"/>
      <c r="N48" s="65"/>
      <c r="O48" s="66"/>
      <c r="P48" s="66"/>
      <c r="Q48" s="66"/>
      <c r="R48" s="65"/>
      <c r="S48" s="65"/>
      <c r="T48" s="65"/>
      <c r="U48" s="66"/>
      <c r="V48" s="66"/>
      <c r="W48" s="66"/>
      <c r="X48" s="65"/>
      <c r="Y48" s="65"/>
      <c r="Z48" s="65"/>
      <c r="AA48" s="66"/>
      <c r="AB48" s="66"/>
      <c r="AC48" s="66"/>
      <c r="AD48" s="65"/>
      <c r="AE48" s="65"/>
      <c r="AF48" s="65"/>
      <c r="AG48" s="66"/>
      <c r="AH48" s="66"/>
      <c r="AI48" s="66"/>
      <c r="AJ48" s="65"/>
      <c r="AK48" s="65"/>
      <c r="AL48" s="65"/>
      <c r="AM48" s="66"/>
      <c r="AN48" s="66"/>
      <c r="AO48" s="66"/>
    </row>
    <row r="49" spans="1:41" s="58" customFormat="1" ht="17.25" x14ac:dyDescent="0.3">
      <c r="A49" s="4"/>
      <c r="B49" s="16"/>
      <c r="C49" s="28"/>
      <c r="D49" s="29"/>
      <c r="E49" s="3"/>
      <c r="F49" s="65"/>
      <c r="G49" s="65"/>
      <c r="H49" s="65"/>
      <c r="I49" s="66"/>
      <c r="J49" s="66"/>
      <c r="K49" s="66"/>
      <c r="L49" s="65"/>
      <c r="M49" s="65"/>
      <c r="N49" s="65"/>
      <c r="O49" s="66"/>
      <c r="P49" s="66"/>
      <c r="Q49" s="66"/>
      <c r="R49" s="65"/>
      <c r="S49" s="65"/>
      <c r="T49" s="65"/>
      <c r="U49" s="66"/>
      <c r="V49" s="66"/>
      <c r="W49" s="66"/>
      <c r="X49" s="65"/>
      <c r="Y49" s="65"/>
      <c r="Z49" s="65"/>
      <c r="AA49" s="66"/>
      <c r="AB49" s="66"/>
      <c r="AC49" s="66"/>
      <c r="AD49" s="65"/>
      <c r="AE49" s="65"/>
      <c r="AF49" s="65"/>
      <c r="AG49" s="66"/>
      <c r="AH49" s="66"/>
      <c r="AI49" s="66"/>
      <c r="AJ49" s="65"/>
      <c r="AK49" s="65"/>
      <c r="AL49" s="65"/>
      <c r="AM49" s="66"/>
      <c r="AN49" s="66"/>
      <c r="AO49" s="66"/>
    </row>
    <row r="50" spans="1:41" s="58" customFormat="1" ht="30" x14ac:dyDescent="0.4">
      <c r="A50" s="1" t="str">
        <f>A1</f>
        <v>Otta Idrettslag - med undergrupper</v>
      </c>
      <c r="B50" s="16"/>
      <c r="C50" s="28"/>
      <c r="D50" s="29"/>
      <c r="E50" s="3"/>
      <c r="F50" s="65"/>
      <c r="G50" s="65"/>
      <c r="H50" s="65"/>
      <c r="I50" s="66"/>
      <c r="J50" s="66"/>
      <c r="K50" s="66"/>
      <c r="L50" s="65"/>
      <c r="M50" s="65"/>
      <c r="N50" s="65"/>
      <c r="O50" s="66"/>
      <c r="P50" s="66"/>
      <c r="Q50" s="66"/>
      <c r="R50" s="65"/>
      <c r="S50" s="65"/>
      <c r="T50" s="65"/>
      <c r="U50" s="66"/>
      <c r="V50" s="66"/>
      <c r="W50" s="66"/>
      <c r="X50" s="65"/>
      <c r="Y50" s="65"/>
      <c r="Z50" s="65"/>
      <c r="AA50" s="66"/>
      <c r="AB50" s="66"/>
      <c r="AC50" s="66"/>
      <c r="AD50" s="65"/>
      <c r="AE50" s="65"/>
      <c r="AF50" s="65"/>
      <c r="AG50" s="66"/>
      <c r="AH50" s="66"/>
      <c r="AI50" s="66"/>
      <c r="AJ50" s="65"/>
      <c r="AK50" s="65"/>
      <c r="AL50" s="65"/>
      <c r="AM50" s="66"/>
      <c r="AN50" s="66"/>
      <c r="AO50" s="66"/>
    </row>
    <row r="51" spans="1:41" s="58" customFormat="1" x14ac:dyDescent="0.2">
      <c r="A51" s="15"/>
      <c r="B51" s="126"/>
      <c r="C51" s="14"/>
      <c r="D51" s="14"/>
      <c r="E51" s="3"/>
      <c r="F51" s="65"/>
      <c r="G51" s="65"/>
      <c r="H51" s="65"/>
      <c r="I51" s="66"/>
      <c r="J51" s="66"/>
      <c r="K51" s="66"/>
      <c r="L51" s="65"/>
      <c r="M51" s="65"/>
      <c r="N51" s="65"/>
      <c r="O51" s="66"/>
      <c r="P51" s="66"/>
      <c r="Q51" s="66"/>
      <c r="R51" s="65"/>
      <c r="S51" s="65"/>
      <c r="T51" s="65"/>
      <c r="U51" s="66"/>
      <c r="V51" s="66"/>
      <c r="W51" s="66"/>
      <c r="X51" s="65"/>
      <c r="Y51" s="65"/>
      <c r="Z51" s="65"/>
      <c r="AA51" s="66"/>
      <c r="AB51" s="66"/>
      <c r="AC51" s="66"/>
      <c r="AD51" s="65"/>
      <c r="AE51" s="65"/>
      <c r="AF51" s="65"/>
      <c r="AG51" s="66"/>
      <c r="AH51" s="66"/>
      <c r="AI51" s="66"/>
      <c r="AJ51" s="65"/>
      <c r="AK51" s="65"/>
      <c r="AL51" s="65"/>
      <c r="AM51" s="66"/>
      <c r="AN51" s="66"/>
      <c r="AO51" s="66"/>
    </row>
    <row r="52" spans="1:41" s="58" customFormat="1" x14ac:dyDescent="0.2">
      <c r="A52" s="4" t="s">
        <v>16</v>
      </c>
      <c r="B52" s="126"/>
      <c r="C52" s="30"/>
      <c r="D52" s="30"/>
      <c r="E52" s="3"/>
      <c r="F52" s="65"/>
      <c r="G52" s="65"/>
      <c r="H52" s="65"/>
      <c r="I52" s="66"/>
      <c r="J52" s="66"/>
      <c r="K52" s="66"/>
      <c r="L52" s="65"/>
      <c r="M52" s="65"/>
      <c r="N52" s="65"/>
      <c r="O52" s="66"/>
      <c r="P52" s="66"/>
      <c r="Q52" s="66"/>
      <c r="R52" s="65"/>
      <c r="S52" s="65"/>
      <c r="T52" s="65"/>
      <c r="U52" s="66"/>
      <c r="V52" s="66"/>
      <c r="W52" s="66"/>
      <c r="X52" s="65"/>
      <c r="Y52" s="65"/>
      <c r="Z52" s="65"/>
      <c r="AA52" s="66"/>
      <c r="AB52" s="66"/>
      <c r="AC52" s="66"/>
      <c r="AD52" s="65"/>
      <c r="AE52" s="65"/>
      <c r="AF52" s="65"/>
      <c r="AG52" s="66"/>
      <c r="AH52" s="66"/>
      <c r="AI52" s="66"/>
      <c r="AJ52" s="65"/>
      <c r="AK52" s="65"/>
      <c r="AL52" s="65"/>
      <c r="AM52" s="66"/>
      <c r="AN52" s="66"/>
      <c r="AO52" s="66"/>
    </row>
    <row r="53" spans="1:41" s="58" customFormat="1" x14ac:dyDescent="0.2">
      <c r="A53" s="31"/>
      <c r="B53" s="32"/>
      <c r="C53" s="33">
        <f>C4</f>
        <v>2013</v>
      </c>
      <c r="D53" s="34"/>
      <c r="E53" s="3"/>
      <c r="F53" s="65"/>
      <c r="G53" s="65"/>
      <c r="H53" s="65"/>
      <c r="I53" s="66"/>
      <c r="J53" s="66"/>
      <c r="K53" s="66"/>
      <c r="L53" s="65"/>
      <c r="M53" s="65"/>
      <c r="N53" s="65"/>
      <c r="O53" s="66"/>
      <c r="P53" s="66"/>
      <c r="Q53" s="66"/>
      <c r="R53" s="65"/>
      <c r="S53" s="65"/>
      <c r="T53" s="65"/>
      <c r="U53" s="66"/>
      <c r="V53" s="66"/>
      <c r="W53" s="66"/>
      <c r="X53" s="65"/>
      <c r="Y53" s="65"/>
      <c r="Z53" s="65"/>
      <c r="AA53" s="66"/>
      <c r="AB53" s="66"/>
      <c r="AC53" s="66"/>
      <c r="AD53" s="65"/>
      <c r="AE53" s="65"/>
      <c r="AF53" s="65"/>
      <c r="AG53" s="66"/>
      <c r="AH53" s="66"/>
      <c r="AI53" s="66"/>
      <c r="AJ53" s="65"/>
      <c r="AK53" s="65"/>
      <c r="AL53" s="65"/>
      <c r="AM53" s="66"/>
      <c r="AN53" s="66"/>
      <c r="AO53" s="66"/>
    </row>
    <row r="54" spans="1:41" s="58" customFormat="1" ht="15.75" x14ac:dyDescent="0.25">
      <c r="A54" s="35" t="s">
        <v>17</v>
      </c>
      <c r="B54" s="36" t="s">
        <v>4</v>
      </c>
      <c r="C54" s="37"/>
      <c r="D54" s="38"/>
      <c r="E54" s="3"/>
      <c r="F54" s="65"/>
      <c r="G54" s="65"/>
      <c r="H54" s="65"/>
      <c r="I54" s="66"/>
      <c r="J54" s="66"/>
      <c r="K54" s="66"/>
      <c r="L54" s="65"/>
      <c r="M54" s="65"/>
      <c r="N54" s="65"/>
      <c r="O54" s="66"/>
      <c r="P54" s="66"/>
      <c r="Q54" s="66"/>
      <c r="R54" s="65"/>
      <c r="S54" s="65"/>
      <c r="T54" s="65"/>
      <c r="U54" s="66"/>
      <c r="V54" s="66"/>
      <c r="W54" s="66"/>
      <c r="X54" s="65"/>
      <c r="Y54" s="65"/>
      <c r="Z54" s="65"/>
      <c r="AA54" s="66"/>
      <c r="AB54" s="66"/>
      <c r="AC54" s="66"/>
      <c r="AD54" s="65"/>
      <c r="AE54" s="65"/>
      <c r="AF54" s="65"/>
      <c r="AG54" s="66"/>
      <c r="AH54" s="66"/>
      <c r="AI54" s="66"/>
      <c r="AJ54" s="65"/>
      <c r="AK54" s="65"/>
      <c r="AL54" s="65"/>
      <c r="AM54" s="66"/>
      <c r="AN54" s="66"/>
      <c r="AO54" s="66"/>
    </row>
    <row r="55" spans="1:41" s="58" customFormat="1" ht="15.75" x14ac:dyDescent="0.25">
      <c r="A55" s="39"/>
      <c r="B55" s="40"/>
      <c r="C55" s="41"/>
      <c r="D55" s="38"/>
      <c r="E55" s="3"/>
      <c r="F55" s="65"/>
      <c r="G55" s="65"/>
      <c r="H55" s="65"/>
      <c r="I55" s="66"/>
      <c r="J55" s="66"/>
      <c r="K55" s="66"/>
      <c r="L55" s="65"/>
      <c r="M55" s="65"/>
      <c r="N55" s="65"/>
      <c r="O55" s="66"/>
      <c r="P55" s="66"/>
      <c r="Q55" s="66"/>
      <c r="R55" s="65"/>
      <c r="S55" s="65"/>
      <c r="T55" s="65"/>
      <c r="U55" s="66"/>
      <c r="V55" s="66"/>
      <c r="W55" s="66"/>
      <c r="X55" s="65"/>
      <c r="Y55" s="65"/>
      <c r="Z55" s="65"/>
      <c r="AA55" s="66"/>
      <c r="AB55" s="66"/>
      <c r="AC55" s="66"/>
      <c r="AD55" s="65"/>
      <c r="AE55" s="65"/>
      <c r="AF55" s="65"/>
      <c r="AG55" s="66"/>
      <c r="AH55" s="66"/>
      <c r="AI55" s="66"/>
      <c r="AJ55" s="65"/>
      <c r="AK55" s="65"/>
      <c r="AL55" s="65"/>
      <c r="AM55" s="66"/>
      <c r="AN55" s="66"/>
      <c r="AO55" s="66"/>
    </row>
    <row r="56" spans="1:41" s="58" customFormat="1" ht="15.75" x14ac:dyDescent="0.25">
      <c r="A56" s="4" t="s">
        <v>18</v>
      </c>
      <c r="B56" s="16"/>
      <c r="C56" s="41"/>
      <c r="D56" s="42"/>
      <c r="E56" s="3"/>
      <c r="F56" s="65"/>
      <c r="G56" s="65"/>
      <c r="H56" s="65"/>
      <c r="I56" s="66"/>
      <c r="J56" s="66"/>
      <c r="K56" s="66"/>
      <c r="L56" s="65"/>
      <c r="M56" s="65"/>
      <c r="N56" s="65"/>
      <c r="O56" s="66"/>
      <c r="P56" s="66"/>
      <c r="Q56" s="66"/>
      <c r="R56" s="65"/>
      <c r="S56" s="65"/>
      <c r="T56" s="65"/>
      <c r="U56" s="66"/>
      <c r="V56" s="66"/>
      <c r="W56" s="66"/>
      <c r="X56" s="65"/>
      <c r="Y56" s="65"/>
      <c r="Z56" s="65"/>
      <c r="AA56" s="66"/>
      <c r="AB56" s="66"/>
      <c r="AC56" s="66"/>
      <c r="AD56" s="65"/>
      <c r="AE56" s="65"/>
      <c r="AF56" s="65"/>
      <c r="AG56" s="66"/>
      <c r="AH56" s="66"/>
      <c r="AI56" s="66"/>
      <c r="AJ56" s="65"/>
      <c r="AK56" s="65"/>
      <c r="AL56" s="65"/>
      <c r="AM56" s="66"/>
      <c r="AN56" s="66"/>
      <c r="AO56" s="66"/>
    </row>
    <row r="57" spans="1:41" s="58" customFormat="1" ht="17.25" x14ac:dyDescent="0.3">
      <c r="A57" s="15"/>
      <c r="B57" s="16"/>
      <c r="C57" s="41"/>
      <c r="D57" s="28"/>
      <c r="E57" s="3"/>
      <c r="F57" s="65"/>
      <c r="G57" s="65"/>
      <c r="H57" s="65"/>
      <c r="I57" s="66"/>
      <c r="J57" s="66"/>
      <c r="K57" s="66"/>
      <c r="L57" s="65"/>
      <c r="M57" s="65"/>
      <c r="N57" s="65"/>
      <c r="O57" s="66"/>
      <c r="P57" s="66"/>
      <c r="Q57" s="66"/>
      <c r="R57" s="65"/>
      <c r="S57" s="65"/>
      <c r="T57" s="65"/>
      <c r="U57" s="66"/>
      <c r="V57" s="66"/>
      <c r="W57" s="66"/>
      <c r="X57" s="65"/>
      <c r="Y57" s="65"/>
      <c r="Z57" s="65"/>
      <c r="AA57" s="66"/>
      <c r="AB57" s="66"/>
      <c r="AC57" s="66"/>
      <c r="AD57" s="65"/>
      <c r="AE57" s="65"/>
      <c r="AF57" s="65"/>
      <c r="AG57" s="66"/>
      <c r="AH57" s="66"/>
      <c r="AI57" s="66"/>
      <c r="AJ57" s="65"/>
      <c r="AK57" s="65"/>
      <c r="AL57" s="65"/>
      <c r="AM57" s="66"/>
      <c r="AN57" s="66"/>
      <c r="AO57" s="66"/>
    </row>
    <row r="58" spans="1:41" s="58" customFormat="1" ht="15.75" x14ac:dyDescent="0.25">
      <c r="A58" s="70" t="s">
        <v>70</v>
      </c>
      <c r="B58" s="16"/>
      <c r="C58" s="41"/>
      <c r="D58" s="42"/>
      <c r="E58" s="3"/>
      <c r="F58" s="65"/>
      <c r="G58" s="65"/>
      <c r="H58" s="65"/>
      <c r="I58" s="66"/>
      <c r="J58" s="66"/>
      <c r="K58" s="66"/>
      <c r="L58" s="65"/>
      <c r="M58" s="65"/>
      <c r="N58" s="65"/>
      <c r="O58" s="66"/>
      <c r="P58" s="66"/>
      <c r="Q58" s="66"/>
      <c r="R58" s="65"/>
      <c r="S58" s="65"/>
      <c r="T58" s="65"/>
      <c r="U58" s="66"/>
      <c r="V58" s="66"/>
      <c r="W58" s="66"/>
      <c r="X58" s="65"/>
      <c r="Y58" s="65"/>
      <c r="Z58" s="65"/>
      <c r="AA58" s="66"/>
      <c r="AB58" s="66"/>
      <c r="AC58" s="66"/>
      <c r="AD58" s="65"/>
      <c r="AE58" s="65"/>
      <c r="AF58" s="65"/>
      <c r="AG58" s="66"/>
      <c r="AH58" s="66"/>
      <c r="AI58" s="66"/>
      <c r="AJ58" s="65"/>
      <c r="AK58" s="65"/>
      <c r="AL58" s="65"/>
      <c r="AM58" s="66"/>
      <c r="AN58" s="66"/>
      <c r="AO58" s="66"/>
    </row>
    <row r="59" spans="1:41" s="58" customFormat="1" ht="15.75" x14ac:dyDescent="0.25">
      <c r="A59" s="68" t="s">
        <v>66</v>
      </c>
      <c r="B59" s="16"/>
      <c r="C59" s="14">
        <f>H59+K59+N59+Q59+T59+W59+Z59+AC59+AF59+AI59+AL59+AO59</f>
        <v>1661300</v>
      </c>
      <c r="D59" s="42"/>
      <c r="E59" s="3"/>
      <c r="F59" s="65">
        <v>1661300</v>
      </c>
      <c r="G59" s="65"/>
      <c r="H59" s="65">
        <f t="shared" ref="H59:H95" si="27">F59+G59</f>
        <v>1661300</v>
      </c>
      <c r="I59" s="66">
        <v>0</v>
      </c>
      <c r="J59" s="66"/>
      <c r="K59" s="66">
        <f t="shared" ref="K59:K95" si="28">I59+J59</f>
        <v>0</v>
      </c>
      <c r="L59" s="65">
        <v>0</v>
      </c>
      <c r="M59" s="65"/>
      <c r="N59" s="65">
        <f t="shared" ref="N59:N95" si="29">L59+M59</f>
        <v>0</v>
      </c>
      <c r="O59" s="66">
        <v>0</v>
      </c>
      <c r="P59" s="66"/>
      <c r="Q59" s="66">
        <f t="shared" ref="Q59:Q95" si="30">O59+P59</f>
        <v>0</v>
      </c>
      <c r="R59" s="65">
        <v>0</v>
      </c>
      <c r="S59" s="65"/>
      <c r="T59" s="65">
        <f t="shared" ref="T59:T95" si="31">R59+S59</f>
        <v>0</v>
      </c>
      <c r="U59" s="66"/>
      <c r="V59" s="66"/>
      <c r="W59" s="66">
        <f t="shared" ref="W59:W95" si="32">U59+V59</f>
        <v>0</v>
      </c>
      <c r="X59" s="65"/>
      <c r="Y59" s="65"/>
      <c r="Z59" s="65">
        <f t="shared" ref="Z59:Z95" si="33">X59+Y59</f>
        <v>0</v>
      </c>
      <c r="AA59" s="66"/>
      <c r="AB59" s="66"/>
      <c r="AC59" s="66">
        <f t="shared" ref="AC59:AC95" si="34">AA59+AB59</f>
        <v>0</v>
      </c>
      <c r="AD59" s="65"/>
      <c r="AE59" s="65"/>
      <c r="AF59" s="65">
        <f t="shared" ref="AF59:AF95" si="35">AD59+AE59</f>
        <v>0</v>
      </c>
      <c r="AG59" s="66"/>
      <c r="AH59" s="66"/>
      <c r="AI59" s="66">
        <f t="shared" ref="AI59:AI95" si="36">AG59+AH59</f>
        <v>0</v>
      </c>
      <c r="AJ59" s="65"/>
      <c r="AK59" s="65"/>
      <c r="AL59" s="65">
        <f t="shared" ref="AL59:AL95" si="37">AJ59+AK59</f>
        <v>0</v>
      </c>
      <c r="AM59" s="66"/>
      <c r="AN59" s="66"/>
      <c r="AO59" s="66">
        <f t="shared" ref="AO59:AO60" si="38">AM59+AN59</f>
        <v>0</v>
      </c>
    </row>
    <row r="60" spans="1:41" s="58" customFormat="1" ht="17.25" x14ac:dyDescent="0.3">
      <c r="A60" s="68" t="s">
        <v>67</v>
      </c>
      <c r="B60" s="16"/>
      <c r="C60" s="14">
        <f>H60+K60+N60+Q60+T60+W60+Z60+AC60+AF60+AI60+AL60+AO60</f>
        <v>0</v>
      </c>
      <c r="D60" s="24"/>
      <c r="E60" s="3"/>
      <c r="F60" s="65"/>
      <c r="G60" s="65"/>
      <c r="H60" s="65">
        <f t="shared" si="27"/>
        <v>0</v>
      </c>
      <c r="I60" s="66">
        <v>0</v>
      </c>
      <c r="J60" s="66"/>
      <c r="K60" s="66">
        <f t="shared" si="28"/>
        <v>0</v>
      </c>
      <c r="L60" s="65">
        <v>0</v>
      </c>
      <c r="M60" s="65"/>
      <c r="N60" s="65">
        <f t="shared" si="29"/>
        <v>0</v>
      </c>
      <c r="O60" s="66">
        <v>0</v>
      </c>
      <c r="P60" s="66"/>
      <c r="Q60" s="66">
        <f t="shared" si="30"/>
        <v>0</v>
      </c>
      <c r="R60" s="65">
        <v>0</v>
      </c>
      <c r="S60" s="65"/>
      <c r="T60" s="65">
        <f t="shared" si="31"/>
        <v>0</v>
      </c>
      <c r="U60" s="66"/>
      <c r="V60" s="66"/>
      <c r="W60" s="66">
        <f t="shared" si="32"/>
        <v>0</v>
      </c>
      <c r="X60" s="65"/>
      <c r="Y60" s="65"/>
      <c r="Z60" s="65">
        <f t="shared" si="33"/>
        <v>0</v>
      </c>
      <c r="AA60" s="66"/>
      <c r="AB60" s="66"/>
      <c r="AC60" s="66">
        <f t="shared" si="34"/>
        <v>0</v>
      </c>
      <c r="AD60" s="65"/>
      <c r="AE60" s="65"/>
      <c r="AF60" s="65">
        <f t="shared" si="35"/>
        <v>0</v>
      </c>
      <c r="AG60" s="66"/>
      <c r="AH60" s="66"/>
      <c r="AI60" s="66">
        <f t="shared" si="36"/>
        <v>0</v>
      </c>
      <c r="AJ60" s="65"/>
      <c r="AK60" s="65"/>
      <c r="AL60" s="65">
        <f t="shared" si="37"/>
        <v>0</v>
      </c>
      <c r="AM60" s="66"/>
      <c r="AN60" s="66"/>
      <c r="AO60" s="66">
        <f t="shared" si="38"/>
        <v>0</v>
      </c>
    </row>
    <row r="61" spans="1:41" s="58" customFormat="1" ht="17.25" x14ac:dyDescent="0.3">
      <c r="A61" s="4" t="s">
        <v>19</v>
      </c>
      <c r="B61" s="16"/>
      <c r="C61" s="17">
        <f>SUM(C59:C60)</f>
        <v>1661300</v>
      </c>
      <c r="D61" s="28"/>
      <c r="E61" s="3"/>
      <c r="F61" s="17">
        <f>SUM(F59:F60)</f>
        <v>1661300</v>
      </c>
      <c r="G61" s="17">
        <f t="shared" ref="G61:AO61" si="39">SUM(G59:G60)</f>
        <v>0</v>
      </c>
      <c r="H61" s="17">
        <f t="shared" si="39"/>
        <v>1661300</v>
      </c>
      <c r="I61" s="17">
        <f t="shared" si="39"/>
        <v>0</v>
      </c>
      <c r="J61" s="17">
        <f t="shared" si="39"/>
        <v>0</v>
      </c>
      <c r="K61" s="17">
        <f t="shared" si="39"/>
        <v>0</v>
      </c>
      <c r="L61" s="17">
        <f t="shared" si="39"/>
        <v>0</v>
      </c>
      <c r="M61" s="17">
        <f t="shared" si="39"/>
        <v>0</v>
      </c>
      <c r="N61" s="17">
        <f t="shared" si="39"/>
        <v>0</v>
      </c>
      <c r="O61" s="17">
        <f t="shared" si="39"/>
        <v>0</v>
      </c>
      <c r="P61" s="17">
        <f t="shared" si="39"/>
        <v>0</v>
      </c>
      <c r="Q61" s="17">
        <f t="shared" si="39"/>
        <v>0</v>
      </c>
      <c r="R61" s="17">
        <f t="shared" si="39"/>
        <v>0</v>
      </c>
      <c r="S61" s="17">
        <f t="shared" si="39"/>
        <v>0</v>
      </c>
      <c r="T61" s="17">
        <f t="shared" si="39"/>
        <v>0</v>
      </c>
      <c r="U61" s="17">
        <f t="shared" si="39"/>
        <v>0</v>
      </c>
      <c r="V61" s="17">
        <f t="shared" si="39"/>
        <v>0</v>
      </c>
      <c r="W61" s="17">
        <f t="shared" si="39"/>
        <v>0</v>
      </c>
      <c r="X61" s="17">
        <f t="shared" si="39"/>
        <v>0</v>
      </c>
      <c r="Y61" s="17">
        <f t="shared" si="39"/>
        <v>0</v>
      </c>
      <c r="Z61" s="17">
        <f t="shared" si="39"/>
        <v>0</v>
      </c>
      <c r="AA61" s="17">
        <f t="shared" si="39"/>
        <v>0</v>
      </c>
      <c r="AB61" s="17">
        <f t="shared" si="39"/>
        <v>0</v>
      </c>
      <c r="AC61" s="17">
        <f t="shared" si="39"/>
        <v>0</v>
      </c>
      <c r="AD61" s="17">
        <f t="shared" si="39"/>
        <v>0</v>
      </c>
      <c r="AE61" s="17">
        <f t="shared" si="39"/>
        <v>0</v>
      </c>
      <c r="AF61" s="17">
        <f t="shared" si="39"/>
        <v>0</v>
      </c>
      <c r="AG61" s="17">
        <f t="shared" si="39"/>
        <v>0</v>
      </c>
      <c r="AH61" s="17">
        <f t="shared" si="39"/>
        <v>0</v>
      </c>
      <c r="AI61" s="17">
        <f t="shared" si="39"/>
        <v>0</v>
      </c>
      <c r="AJ61" s="17">
        <f t="shared" si="39"/>
        <v>0</v>
      </c>
      <c r="AK61" s="17">
        <f t="shared" si="39"/>
        <v>0</v>
      </c>
      <c r="AL61" s="17">
        <f t="shared" si="39"/>
        <v>0</v>
      </c>
      <c r="AM61" s="17">
        <f t="shared" si="39"/>
        <v>0</v>
      </c>
      <c r="AN61" s="17">
        <f t="shared" si="39"/>
        <v>0</v>
      </c>
      <c r="AO61" s="17">
        <f t="shared" si="39"/>
        <v>0</v>
      </c>
    </row>
    <row r="62" spans="1:41" s="58" customFormat="1" ht="17.25" x14ac:dyDescent="0.3">
      <c r="A62" s="4"/>
      <c r="B62" s="16"/>
      <c r="C62" s="19"/>
      <c r="D62" s="28"/>
      <c r="E62" s="3"/>
      <c r="F62" s="65"/>
      <c r="G62" s="65"/>
      <c r="H62" s="65"/>
      <c r="I62" s="66"/>
      <c r="J62" s="66"/>
      <c r="K62" s="66"/>
      <c r="L62" s="65"/>
      <c r="M62" s="65"/>
      <c r="N62" s="65"/>
      <c r="O62" s="66"/>
      <c r="P62" s="66"/>
      <c r="Q62" s="66"/>
      <c r="R62" s="65"/>
      <c r="S62" s="65"/>
      <c r="T62" s="65"/>
      <c r="U62" s="66"/>
      <c r="V62" s="66"/>
      <c r="W62" s="66"/>
      <c r="X62" s="65"/>
      <c r="Y62" s="65"/>
      <c r="Z62" s="65"/>
      <c r="AA62" s="66"/>
      <c r="AB62" s="66"/>
      <c r="AC62" s="66"/>
      <c r="AD62" s="65"/>
      <c r="AE62" s="65"/>
      <c r="AF62" s="65"/>
      <c r="AG62" s="66"/>
      <c r="AH62" s="66"/>
      <c r="AI62" s="66"/>
      <c r="AJ62" s="65"/>
      <c r="AK62" s="65"/>
      <c r="AL62" s="65"/>
      <c r="AM62" s="66"/>
      <c r="AN62" s="66"/>
      <c r="AO62" s="66"/>
    </row>
    <row r="63" spans="1:41" s="58" customFormat="1" ht="17.25" x14ac:dyDescent="0.3">
      <c r="A63" s="70" t="s">
        <v>71</v>
      </c>
      <c r="B63" s="16"/>
      <c r="C63" s="19"/>
      <c r="D63" s="28"/>
      <c r="E63" s="3"/>
      <c r="F63" s="65"/>
      <c r="G63" s="65"/>
      <c r="H63" s="65"/>
      <c r="I63" s="66"/>
      <c r="J63" s="66"/>
      <c r="K63" s="66"/>
      <c r="L63" s="65"/>
      <c r="M63" s="65"/>
      <c r="N63" s="65"/>
      <c r="O63" s="66"/>
      <c r="P63" s="66"/>
      <c r="Q63" s="66"/>
      <c r="R63" s="65"/>
      <c r="S63" s="65"/>
      <c r="T63" s="65"/>
      <c r="U63" s="66"/>
      <c r="V63" s="66"/>
      <c r="W63" s="66"/>
      <c r="X63" s="65"/>
      <c r="Y63" s="65"/>
      <c r="Z63" s="65"/>
      <c r="AA63" s="66"/>
      <c r="AB63" s="66"/>
      <c r="AC63" s="66"/>
      <c r="AD63" s="65"/>
      <c r="AE63" s="65"/>
      <c r="AF63" s="65"/>
      <c r="AG63" s="66"/>
      <c r="AH63" s="66"/>
      <c r="AI63" s="66"/>
      <c r="AJ63" s="65"/>
      <c r="AK63" s="65"/>
      <c r="AL63" s="65"/>
      <c r="AM63" s="66"/>
      <c r="AN63" s="66"/>
      <c r="AO63" s="66"/>
    </row>
    <row r="64" spans="1:41" s="58" customFormat="1" ht="17.25" x14ac:dyDescent="0.3">
      <c r="A64" s="68" t="s">
        <v>72</v>
      </c>
      <c r="B64" s="16"/>
      <c r="C64" s="14">
        <f>H64+K64+N64+Q64+T64+W64+Z64+AC64+AF64+AI64+AL64+AO64</f>
        <v>0</v>
      </c>
      <c r="D64" s="28"/>
      <c r="E64" s="3"/>
      <c r="F64" s="65">
        <v>0</v>
      </c>
      <c r="G64" s="65"/>
      <c r="H64" s="65">
        <f t="shared" si="27"/>
        <v>0</v>
      </c>
      <c r="I64" s="66">
        <v>0</v>
      </c>
      <c r="J64" s="66"/>
      <c r="K64" s="66"/>
      <c r="L64" s="65">
        <v>0</v>
      </c>
      <c r="M64" s="65"/>
      <c r="N64" s="65"/>
      <c r="O64" s="66">
        <v>0</v>
      </c>
      <c r="P64" s="66"/>
      <c r="Q64" s="66"/>
      <c r="R64" s="65">
        <v>0</v>
      </c>
      <c r="S64" s="65"/>
      <c r="T64" s="65"/>
      <c r="U64" s="66"/>
      <c r="V64" s="66"/>
      <c r="W64" s="66"/>
      <c r="X64" s="65"/>
      <c r="Y64" s="65"/>
      <c r="Z64" s="65"/>
      <c r="AA64" s="66"/>
      <c r="AB64" s="66"/>
      <c r="AC64" s="66"/>
      <c r="AD64" s="65"/>
      <c r="AE64" s="65"/>
      <c r="AF64" s="65"/>
      <c r="AG64" s="66"/>
      <c r="AH64" s="66"/>
      <c r="AI64" s="66"/>
      <c r="AJ64" s="65"/>
      <c r="AK64" s="65"/>
      <c r="AL64" s="65"/>
      <c r="AM64" s="66"/>
      <c r="AN64" s="66"/>
      <c r="AO64" s="66"/>
    </row>
    <row r="65" spans="1:41" s="58" customFormat="1" ht="17.25" x14ac:dyDescent="0.3">
      <c r="A65" s="71" t="s">
        <v>73</v>
      </c>
      <c r="B65" s="16"/>
      <c r="C65" s="17">
        <f>SUM(C63:C64)</f>
        <v>0</v>
      </c>
      <c r="D65" s="28"/>
      <c r="E65" s="3"/>
      <c r="F65" s="17">
        <f>SUM(F63:F64)</f>
        <v>0</v>
      </c>
      <c r="G65" s="17">
        <f t="shared" ref="G65:AO65" si="40">SUM(G63:G64)</f>
        <v>0</v>
      </c>
      <c r="H65" s="17">
        <f t="shared" si="40"/>
        <v>0</v>
      </c>
      <c r="I65" s="17">
        <f t="shared" si="40"/>
        <v>0</v>
      </c>
      <c r="J65" s="17">
        <f t="shared" si="40"/>
        <v>0</v>
      </c>
      <c r="K65" s="17">
        <f t="shared" si="40"/>
        <v>0</v>
      </c>
      <c r="L65" s="17">
        <f t="shared" si="40"/>
        <v>0</v>
      </c>
      <c r="M65" s="17">
        <f t="shared" si="40"/>
        <v>0</v>
      </c>
      <c r="N65" s="17">
        <f t="shared" si="40"/>
        <v>0</v>
      </c>
      <c r="O65" s="17">
        <f t="shared" si="40"/>
        <v>0</v>
      </c>
      <c r="P65" s="17">
        <f t="shared" si="40"/>
        <v>0</v>
      </c>
      <c r="Q65" s="17">
        <f t="shared" si="40"/>
        <v>0</v>
      </c>
      <c r="R65" s="17">
        <f t="shared" si="40"/>
        <v>0</v>
      </c>
      <c r="S65" s="17">
        <f t="shared" si="40"/>
        <v>0</v>
      </c>
      <c r="T65" s="17">
        <f t="shared" si="40"/>
        <v>0</v>
      </c>
      <c r="U65" s="17">
        <f t="shared" si="40"/>
        <v>0</v>
      </c>
      <c r="V65" s="17">
        <f t="shared" si="40"/>
        <v>0</v>
      </c>
      <c r="W65" s="17">
        <f t="shared" si="40"/>
        <v>0</v>
      </c>
      <c r="X65" s="17">
        <f t="shared" si="40"/>
        <v>0</v>
      </c>
      <c r="Y65" s="17">
        <f t="shared" si="40"/>
        <v>0</v>
      </c>
      <c r="Z65" s="17">
        <f t="shared" si="40"/>
        <v>0</v>
      </c>
      <c r="AA65" s="17">
        <f t="shared" si="40"/>
        <v>0</v>
      </c>
      <c r="AB65" s="17">
        <f t="shared" si="40"/>
        <v>0</v>
      </c>
      <c r="AC65" s="17">
        <f t="shared" si="40"/>
        <v>0</v>
      </c>
      <c r="AD65" s="17">
        <f t="shared" si="40"/>
        <v>0</v>
      </c>
      <c r="AE65" s="17">
        <f t="shared" si="40"/>
        <v>0</v>
      </c>
      <c r="AF65" s="17">
        <f t="shared" si="40"/>
        <v>0</v>
      </c>
      <c r="AG65" s="17">
        <f t="shared" si="40"/>
        <v>0</v>
      </c>
      <c r="AH65" s="17">
        <f t="shared" si="40"/>
        <v>0</v>
      </c>
      <c r="AI65" s="17">
        <f t="shared" si="40"/>
        <v>0</v>
      </c>
      <c r="AJ65" s="17">
        <f t="shared" si="40"/>
        <v>0</v>
      </c>
      <c r="AK65" s="17">
        <f t="shared" si="40"/>
        <v>0</v>
      </c>
      <c r="AL65" s="17">
        <f t="shared" si="40"/>
        <v>0</v>
      </c>
      <c r="AM65" s="17">
        <f t="shared" si="40"/>
        <v>0</v>
      </c>
      <c r="AN65" s="17">
        <f t="shared" si="40"/>
        <v>0</v>
      </c>
      <c r="AO65" s="17">
        <f t="shared" si="40"/>
        <v>0</v>
      </c>
    </row>
    <row r="66" spans="1:41" s="58" customFormat="1" ht="17.25" x14ac:dyDescent="0.3">
      <c r="A66" s="70" t="s">
        <v>68</v>
      </c>
      <c r="B66" s="16"/>
      <c r="C66" s="17">
        <f>C61+C65</f>
        <v>1661300</v>
      </c>
      <c r="D66" s="28"/>
      <c r="E66" s="3"/>
      <c r="F66" s="17">
        <f>F61+F65</f>
        <v>1661300</v>
      </c>
      <c r="G66" s="17">
        <f t="shared" ref="G66:AO66" si="41">G61+G65</f>
        <v>0</v>
      </c>
      <c r="H66" s="17">
        <f t="shared" si="41"/>
        <v>1661300</v>
      </c>
      <c r="I66" s="17">
        <f t="shared" si="41"/>
        <v>0</v>
      </c>
      <c r="J66" s="17">
        <f t="shared" si="41"/>
        <v>0</v>
      </c>
      <c r="K66" s="17">
        <f t="shared" si="41"/>
        <v>0</v>
      </c>
      <c r="L66" s="17">
        <f t="shared" si="41"/>
        <v>0</v>
      </c>
      <c r="M66" s="17">
        <f t="shared" si="41"/>
        <v>0</v>
      </c>
      <c r="N66" s="17">
        <f t="shared" si="41"/>
        <v>0</v>
      </c>
      <c r="O66" s="17">
        <f t="shared" si="41"/>
        <v>0</v>
      </c>
      <c r="P66" s="17">
        <f t="shared" si="41"/>
        <v>0</v>
      </c>
      <c r="Q66" s="17">
        <f t="shared" si="41"/>
        <v>0</v>
      </c>
      <c r="R66" s="17">
        <f t="shared" si="41"/>
        <v>0</v>
      </c>
      <c r="S66" s="17">
        <f t="shared" si="41"/>
        <v>0</v>
      </c>
      <c r="T66" s="17">
        <f t="shared" si="41"/>
        <v>0</v>
      </c>
      <c r="U66" s="17">
        <f t="shared" si="41"/>
        <v>0</v>
      </c>
      <c r="V66" s="17">
        <f t="shared" si="41"/>
        <v>0</v>
      </c>
      <c r="W66" s="17">
        <f t="shared" si="41"/>
        <v>0</v>
      </c>
      <c r="X66" s="17">
        <f t="shared" si="41"/>
        <v>0</v>
      </c>
      <c r="Y66" s="17">
        <f t="shared" si="41"/>
        <v>0</v>
      </c>
      <c r="Z66" s="17">
        <f t="shared" si="41"/>
        <v>0</v>
      </c>
      <c r="AA66" s="17">
        <f t="shared" si="41"/>
        <v>0</v>
      </c>
      <c r="AB66" s="17">
        <f t="shared" si="41"/>
        <v>0</v>
      </c>
      <c r="AC66" s="17">
        <f t="shared" si="41"/>
        <v>0</v>
      </c>
      <c r="AD66" s="17">
        <f t="shared" si="41"/>
        <v>0</v>
      </c>
      <c r="AE66" s="17">
        <f t="shared" si="41"/>
        <v>0</v>
      </c>
      <c r="AF66" s="17">
        <f t="shared" si="41"/>
        <v>0</v>
      </c>
      <c r="AG66" s="17">
        <f t="shared" si="41"/>
        <v>0</v>
      </c>
      <c r="AH66" s="17">
        <f t="shared" si="41"/>
        <v>0</v>
      </c>
      <c r="AI66" s="17">
        <f t="shared" si="41"/>
        <v>0</v>
      </c>
      <c r="AJ66" s="17">
        <f t="shared" si="41"/>
        <v>0</v>
      </c>
      <c r="AK66" s="17">
        <f t="shared" si="41"/>
        <v>0</v>
      </c>
      <c r="AL66" s="17">
        <f t="shared" si="41"/>
        <v>0</v>
      </c>
      <c r="AM66" s="17">
        <f t="shared" si="41"/>
        <v>0</v>
      </c>
      <c r="AN66" s="17">
        <f t="shared" si="41"/>
        <v>0</v>
      </c>
      <c r="AO66" s="17">
        <f t="shared" si="41"/>
        <v>0</v>
      </c>
    </row>
    <row r="67" spans="1:41" s="58" customFormat="1" ht="17.25" x14ac:dyDescent="0.3">
      <c r="A67" s="15"/>
      <c r="B67" s="16"/>
      <c r="C67" s="28"/>
      <c r="D67" s="28"/>
      <c r="E67" s="3"/>
      <c r="F67" s="65"/>
      <c r="G67" s="65"/>
      <c r="H67" s="65"/>
      <c r="I67" s="66"/>
      <c r="J67" s="66"/>
      <c r="K67" s="66"/>
      <c r="L67" s="65"/>
      <c r="M67" s="65"/>
      <c r="N67" s="65"/>
      <c r="O67" s="66"/>
      <c r="P67" s="66"/>
      <c r="Q67" s="66"/>
      <c r="R67" s="65"/>
      <c r="S67" s="65"/>
      <c r="T67" s="65"/>
      <c r="U67" s="66"/>
      <c r="V67" s="66"/>
      <c r="W67" s="66"/>
      <c r="X67" s="65"/>
      <c r="Y67" s="65"/>
      <c r="Z67" s="65"/>
      <c r="AA67" s="66"/>
      <c r="AB67" s="66"/>
      <c r="AC67" s="66"/>
      <c r="AD67" s="65"/>
      <c r="AE67" s="65"/>
      <c r="AF67" s="65"/>
      <c r="AG67" s="66"/>
      <c r="AH67" s="66"/>
      <c r="AI67" s="66"/>
      <c r="AJ67" s="65"/>
      <c r="AK67" s="65"/>
      <c r="AL67" s="65"/>
      <c r="AM67" s="66"/>
      <c r="AN67" s="66"/>
      <c r="AO67" s="66"/>
    </row>
    <row r="68" spans="1:41" s="58" customFormat="1" ht="17.25" x14ac:dyDescent="0.3">
      <c r="A68" s="70" t="s">
        <v>74</v>
      </c>
      <c r="B68" s="16"/>
      <c r="C68" s="43"/>
      <c r="D68" s="44"/>
      <c r="E68" s="3"/>
      <c r="F68" s="65"/>
      <c r="G68" s="65"/>
      <c r="H68" s="65"/>
      <c r="I68" s="66"/>
      <c r="J68" s="66"/>
      <c r="K68" s="66"/>
      <c r="L68" s="65"/>
      <c r="M68" s="65"/>
      <c r="N68" s="65"/>
      <c r="O68" s="66"/>
      <c r="P68" s="66"/>
      <c r="Q68" s="66"/>
      <c r="R68" s="65"/>
      <c r="S68" s="65"/>
      <c r="T68" s="65"/>
      <c r="U68" s="66"/>
      <c r="V68" s="66"/>
      <c r="W68" s="66"/>
      <c r="X68" s="65"/>
      <c r="Y68" s="65"/>
      <c r="Z68" s="65"/>
      <c r="AA68" s="66"/>
      <c r="AB68" s="66"/>
      <c r="AC68" s="66"/>
      <c r="AD68" s="65"/>
      <c r="AE68" s="65"/>
      <c r="AF68" s="65"/>
      <c r="AG68" s="66"/>
      <c r="AH68" s="66"/>
      <c r="AI68" s="66"/>
      <c r="AJ68" s="65"/>
      <c r="AK68" s="65"/>
      <c r="AL68" s="65"/>
      <c r="AM68" s="66"/>
      <c r="AN68" s="66"/>
      <c r="AO68" s="66"/>
    </row>
    <row r="69" spans="1:41" s="58" customFormat="1" ht="17.25" x14ac:dyDescent="0.3">
      <c r="A69" s="15" t="s">
        <v>21</v>
      </c>
      <c r="B69" s="16"/>
      <c r="C69" s="14">
        <f t="shared" ref="C69" si="42">H69+K69+N69+Q69+T69+W69+Z69+AC69+AF69+AI69+AL69</f>
        <v>20250</v>
      </c>
      <c r="D69" s="45"/>
      <c r="E69" s="3"/>
      <c r="F69" s="65">
        <v>20250</v>
      </c>
      <c r="G69" s="65"/>
      <c r="H69" s="65">
        <f t="shared" si="27"/>
        <v>20250</v>
      </c>
      <c r="I69" s="66">
        <v>0</v>
      </c>
      <c r="J69" s="66"/>
      <c r="K69" s="66">
        <f t="shared" si="28"/>
        <v>0</v>
      </c>
      <c r="L69" s="65">
        <v>0</v>
      </c>
      <c r="M69" s="65"/>
      <c r="N69" s="65">
        <f t="shared" si="29"/>
        <v>0</v>
      </c>
      <c r="O69" s="66">
        <v>0</v>
      </c>
      <c r="P69" s="66"/>
      <c r="Q69" s="66">
        <f t="shared" si="30"/>
        <v>0</v>
      </c>
      <c r="R69" s="65">
        <v>0</v>
      </c>
      <c r="S69" s="65"/>
      <c r="T69" s="65">
        <f t="shared" si="31"/>
        <v>0</v>
      </c>
      <c r="U69" s="66"/>
      <c r="V69" s="66"/>
      <c r="W69" s="66">
        <f t="shared" si="32"/>
        <v>0</v>
      </c>
      <c r="X69" s="65"/>
      <c r="Y69" s="65"/>
      <c r="Z69" s="65">
        <f t="shared" si="33"/>
        <v>0</v>
      </c>
      <c r="AA69" s="66"/>
      <c r="AB69" s="66"/>
      <c r="AC69" s="66">
        <f t="shared" si="34"/>
        <v>0</v>
      </c>
      <c r="AD69" s="65"/>
      <c r="AE69" s="65"/>
      <c r="AF69" s="65">
        <f t="shared" si="35"/>
        <v>0</v>
      </c>
      <c r="AG69" s="66"/>
      <c r="AH69" s="66"/>
      <c r="AI69" s="66">
        <f t="shared" si="36"/>
        <v>0</v>
      </c>
      <c r="AJ69" s="65"/>
      <c r="AK69" s="65"/>
      <c r="AL69" s="65">
        <f t="shared" si="37"/>
        <v>0</v>
      </c>
      <c r="AM69" s="66"/>
      <c r="AN69" s="66"/>
      <c r="AO69" s="66">
        <f t="shared" ref="AO69:AO72" si="43">AM69+AN69</f>
        <v>0</v>
      </c>
    </row>
    <row r="70" spans="1:41" s="58" customFormat="1" ht="17.25" x14ac:dyDescent="0.3">
      <c r="A70" s="15" t="s">
        <v>22</v>
      </c>
      <c r="B70" s="16"/>
      <c r="C70" s="14">
        <f>H70+K70+N70+Q70+T70+W70+Z70+AC70+AF70+AI70+AL70+AO70</f>
        <v>178139</v>
      </c>
      <c r="D70" s="24"/>
      <c r="E70" s="3"/>
      <c r="F70" s="65">
        <v>31604</v>
      </c>
      <c r="G70" s="65"/>
      <c r="H70" s="65">
        <f t="shared" si="27"/>
        <v>31604</v>
      </c>
      <c r="I70" s="66">
        <v>110597</v>
      </c>
      <c r="J70" s="66"/>
      <c r="K70" s="66">
        <f t="shared" si="28"/>
        <v>110597</v>
      </c>
      <c r="L70" s="65">
        <v>0</v>
      </c>
      <c r="M70" s="65"/>
      <c r="N70" s="65">
        <f t="shared" si="29"/>
        <v>0</v>
      </c>
      <c r="O70" s="66">
        <v>13988</v>
      </c>
      <c r="P70" s="66"/>
      <c r="Q70" s="66">
        <f t="shared" si="30"/>
        <v>13988</v>
      </c>
      <c r="R70" s="65">
        <v>19350</v>
      </c>
      <c r="S70" s="65"/>
      <c r="T70" s="65">
        <f t="shared" si="31"/>
        <v>19350</v>
      </c>
      <c r="U70" s="66">
        <v>0</v>
      </c>
      <c r="V70" s="66"/>
      <c r="W70" s="66">
        <f t="shared" si="32"/>
        <v>0</v>
      </c>
      <c r="X70" s="65"/>
      <c r="Y70" s="65"/>
      <c r="Z70" s="65">
        <f t="shared" si="33"/>
        <v>0</v>
      </c>
      <c r="AA70" s="66">
        <v>2600</v>
      </c>
      <c r="AB70" s="66"/>
      <c r="AC70" s="66">
        <f t="shared" si="34"/>
        <v>2600</v>
      </c>
      <c r="AD70" s="65"/>
      <c r="AE70" s="65"/>
      <c r="AF70" s="65">
        <f t="shared" si="35"/>
        <v>0</v>
      </c>
      <c r="AG70" s="66"/>
      <c r="AH70" s="66"/>
      <c r="AI70" s="66">
        <f t="shared" si="36"/>
        <v>0</v>
      </c>
      <c r="AJ70" s="65"/>
      <c r="AK70" s="65"/>
      <c r="AL70" s="65">
        <f t="shared" si="37"/>
        <v>0</v>
      </c>
      <c r="AM70" s="66"/>
      <c r="AN70" s="66"/>
      <c r="AO70" s="66">
        <f t="shared" si="43"/>
        <v>0</v>
      </c>
    </row>
    <row r="71" spans="1:41" s="58" customFormat="1" ht="17.25" x14ac:dyDescent="0.3">
      <c r="A71" s="15" t="s">
        <v>23</v>
      </c>
      <c r="B71" s="16"/>
      <c r="C71" s="14">
        <f>H71+K71+N71+Q71+T71+W71+Z71+AC71+AF71+AI71+AL71+AO71</f>
        <v>17183</v>
      </c>
      <c r="D71" s="24"/>
      <c r="E71" s="3"/>
      <c r="F71" s="65">
        <v>106034</v>
      </c>
      <c r="G71" s="120">
        <f>-11675-6890-85249-2220</f>
        <v>-106034</v>
      </c>
      <c r="H71" s="65">
        <f t="shared" si="27"/>
        <v>0</v>
      </c>
      <c r="I71" s="66">
        <v>76526</v>
      </c>
      <c r="J71" s="120">
        <f>-8740-3885-4603-48938</f>
        <v>-66166</v>
      </c>
      <c r="K71" s="66">
        <f t="shared" si="28"/>
        <v>10360</v>
      </c>
      <c r="L71" s="65">
        <v>12794</v>
      </c>
      <c r="M71" s="65">
        <v>-11994</v>
      </c>
      <c r="N71" s="65">
        <f t="shared" si="29"/>
        <v>800</v>
      </c>
      <c r="O71" s="66">
        <v>389719</v>
      </c>
      <c r="P71" s="120">
        <v>-383696</v>
      </c>
      <c r="Q71" s="66">
        <f t="shared" si="30"/>
        <v>6023</v>
      </c>
      <c r="R71" s="65">
        <v>177101</v>
      </c>
      <c r="S71" s="120">
        <f>-112114-64987</f>
        <v>-177101</v>
      </c>
      <c r="T71" s="65">
        <f t="shared" si="31"/>
        <v>0</v>
      </c>
      <c r="U71" s="66"/>
      <c r="V71" s="66"/>
      <c r="W71" s="66">
        <f t="shared" si="32"/>
        <v>0</v>
      </c>
      <c r="X71" s="65"/>
      <c r="Y71" s="65"/>
      <c r="Z71" s="65">
        <f t="shared" si="33"/>
        <v>0</v>
      </c>
      <c r="AA71" s="66"/>
      <c r="AB71" s="66"/>
      <c r="AC71" s="66">
        <f t="shared" si="34"/>
        <v>0</v>
      </c>
      <c r="AD71" s="65"/>
      <c r="AE71" s="65"/>
      <c r="AF71" s="65">
        <f t="shared" si="35"/>
        <v>0</v>
      </c>
      <c r="AG71" s="66"/>
      <c r="AH71" s="66"/>
      <c r="AI71" s="66">
        <f t="shared" si="36"/>
        <v>0</v>
      </c>
      <c r="AJ71" s="65"/>
      <c r="AK71" s="65"/>
      <c r="AL71" s="65">
        <f t="shared" si="37"/>
        <v>0</v>
      </c>
      <c r="AM71" s="66"/>
      <c r="AN71" s="66"/>
      <c r="AO71" s="66">
        <f t="shared" si="43"/>
        <v>0</v>
      </c>
    </row>
    <row r="72" spans="1:41" s="58" customFormat="1" ht="17.25" x14ac:dyDescent="0.3">
      <c r="A72" s="15" t="s">
        <v>24</v>
      </c>
      <c r="B72" s="16"/>
      <c r="C72" s="14">
        <f>H72+K72+N72+Q72+T72+W72+Z72+AC72+AF72+AI72+AL72+AO72</f>
        <v>1112174</v>
      </c>
      <c r="D72" s="24"/>
      <c r="E72" s="3"/>
      <c r="F72" s="65">
        <v>7688</v>
      </c>
      <c r="G72" s="65"/>
      <c r="H72" s="65">
        <f t="shared" si="27"/>
        <v>7688</v>
      </c>
      <c r="I72" s="66">
        <v>209136</v>
      </c>
      <c r="J72" s="66"/>
      <c r="K72" s="66">
        <f t="shared" si="28"/>
        <v>209136</v>
      </c>
      <c r="L72" s="65">
        <v>17856</v>
      </c>
      <c r="M72" s="65"/>
      <c r="N72" s="65">
        <f t="shared" si="29"/>
        <v>17856</v>
      </c>
      <c r="O72" s="66">
        <v>27631</v>
      </c>
      <c r="P72" s="66"/>
      <c r="Q72" s="66">
        <f t="shared" si="30"/>
        <v>27631</v>
      </c>
      <c r="R72" s="65">
        <v>749226</v>
      </c>
      <c r="S72" s="65"/>
      <c r="T72" s="65">
        <f t="shared" si="31"/>
        <v>749226</v>
      </c>
      <c r="U72" s="66">
        <v>8286</v>
      </c>
      <c r="V72" s="66"/>
      <c r="W72" s="66">
        <f t="shared" si="32"/>
        <v>8286</v>
      </c>
      <c r="X72" s="65">
        <v>60266</v>
      </c>
      <c r="Y72" s="65"/>
      <c r="Z72" s="65">
        <f t="shared" si="33"/>
        <v>60266</v>
      </c>
      <c r="AA72" s="66">
        <v>32085</v>
      </c>
      <c r="AB72" s="66"/>
      <c r="AC72" s="66">
        <f t="shared" si="34"/>
        <v>32085</v>
      </c>
      <c r="AD72" s="65"/>
      <c r="AE72" s="65"/>
      <c r="AF72" s="65">
        <f t="shared" si="35"/>
        <v>0</v>
      </c>
      <c r="AG72" s="66"/>
      <c r="AH72" s="66"/>
      <c r="AI72" s="66">
        <f t="shared" si="36"/>
        <v>0</v>
      </c>
      <c r="AJ72" s="65"/>
      <c r="AK72" s="65"/>
      <c r="AL72" s="65">
        <f t="shared" si="37"/>
        <v>0</v>
      </c>
      <c r="AM72" s="66"/>
      <c r="AN72" s="66"/>
      <c r="AO72" s="66">
        <f t="shared" si="43"/>
        <v>0</v>
      </c>
    </row>
    <row r="73" spans="1:41" s="58" customFormat="1" ht="17.25" x14ac:dyDescent="0.3">
      <c r="A73" s="4" t="s">
        <v>25</v>
      </c>
      <c r="B73" s="16"/>
      <c r="C73" s="17">
        <f>SUM(C69:C72)</f>
        <v>1327746</v>
      </c>
      <c r="D73" s="28"/>
      <c r="E73" s="3"/>
      <c r="F73" s="17">
        <f>SUM(F69:F72)</f>
        <v>165576</v>
      </c>
      <c r="G73" s="17">
        <f t="shared" ref="G73:AO73" si="44">SUM(G69:G72)</f>
        <v>-106034</v>
      </c>
      <c r="H73" s="17">
        <f t="shared" si="44"/>
        <v>59542</v>
      </c>
      <c r="I73" s="17">
        <f t="shared" si="44"/>
        <v>396259</v>
      </c>
      <c r="J73" s="17">
        <f t="shared" si="44"/>
        <v>-66166</v>
      </c>
      <c r="K73" s="17">
        <f t="shared" si="44"/>
        <v>330093</v>
      </c>
      <c r="L73" s="17">
        <f t="shared" si="44"/>
        <v>30650</v>
      </c>
      <c r="M73" s="17">
        <f t="shared" si="44"/>
        <v>-11994</v>
      </c>
      <c r="N73" s="17">
        <f t="shared" si="44"/>
        <v>18656</v>
      </c>
      <c r="O73" s="17">
        <f t="shared" si="44"/>
        <v>431338</v>
      </c>
      <c r="P73" s="17">
        <f t="shared" si="44"/>
        <v>-383696</v>
      </c>
      <c r="Q73" s="17">
        <f t="shared" si="44"/>
        <v>47642</v>
      </c>
      <c r="R73" s="17">
        <f t="shared" si="44"/>
        <v>945677</v>
      </c>
      <c r="S73" s="17">
        <f t="shared" si="44"/>
        <v>-177101</v>
      </c>
      <c r="T73" s="17">
        <f t="shared" si="44"/>
        <v>768576</v>
      </c>
      <c r="U73" s="17">
        <f t="shared" si="44"/>
        <v>8286</v>
      </c>
      <c r="V73" s="17">
        <f t="shared" si="44"/>
        <v>0</v>
      </c>
      <c r="W73" s="17">
        <f t="shared" si="44"/>
        <v>8286</v>
      </c>
      <c r="X73" s="17">
        <f t="shared" si="44"/>
        <v>60266</v>
      </c>
      <c r="Y73" s="17">
        <f t="shared" si="44"/>
        <v>0</v>
      </c>
      <c r="Z73" s="17">
        <f t="shared" si="44"/>
        <v>60266</v>
      </c>
      <c r="AA73" s="17">
        <f t="shared" si="44"/>
        <v>34685</v>
      </c>
      <c r="AB73" s="17">
        <f t="shared" si="44"/>
        <v>0</v>
      </c>
      <c r="AC73" s="17">
        <f t="shared" si="44"/>
        <v>34685</v>
      </c>
      <c r="AD73" s="17">
        <f t="shared" si="44"/>
        <v>0</v>
      </c>
      <c r="AE73" s="17">
        <f t="shared" si="44"/>
        <v>0</v>
      </c>
      <c r="AF73" s="17">
        <f t="shared" si="44"/>
        <v>0</v>
      </c>
      <c r="AG73" s="17">
        <f t="shared" si="44"/>
        <v>0</v>
      </c>
      <c r="AH73" s="17">
        <f t="shared" si="44"/>
        <v>0</v>
      </c>
      <c r="AI73" s="17">
        <f t="shared" si="44"/>
        <v>0</v>
      </c>
      <c r="AJ73" s="17">
        <f t="shared" si="44"/>
        <v>0</v>
      </c>
      <c r="AK73" s="17">
        <f t="shared" si="44"/>
        <v>0</v>
      </c>
      <c r="AL73" s="17">
        <f t="shared" si="44"/>
        <v>0</v>
      </c>
      <c r="AM73" s="17">
        <f t="shared" si="44"/>
        <v>0</v>
      </c>
      <c r="AN73" s="17">
        <f t="shared" si="44"/>
        <v>0</v>
      </c>
      <c r="AO73" s="17">
        <f t="shared" si="44"/>
        <v>0</v>
      </c>
    </row>
    <row r="74" spans="1:41" s="58" customFormat="1" ht="18" thickBot="1" x14ac:dyDescent="0.35">
      <c r="A74" s="70" t="s">
        <v>69</v>
      </c>
      <c r="B74" s="16"/>
      <c r="C74" s="17">
        <f>C66+C73</f>
        <v>2989046</v>
      </c>
      <c r="D74" s="28"/>
      <c r="E74" s="3"/>
      <c r="F74" s="17">
        <f t="shared" ref="F74:AO74" si="45">F66+F73</f>
        <v>1826876</v>
      </c>
      <c r="G74" s="17">
        <f t="shared" si="45"/>
        <v>-106034</v>
      </c>
      <c r="H74" s="17">
        <f t="shared" si="45"/>
        <v>1720842</v>
      </c>
      <c r="I74" s="17">
        <f t="shared" si="45"/>
        <v>396259</v>
      </c>
      <c r="J74" s="17">
        <f t="shared" si="45"/>
        <v>-66166</v>
      </c>
      <c r="K74" s="17">
        <f t="shared" si="45"/>
        <v>330093</v>
      </c>
      <c r="L74" s="17">
        <f t="shared" si="45"/>
        <v>30650</v>
      </c>
      <c r="M74" s="17">
        <f t="shared" si="45"/>
        <v>-11994</v>
      </c>
      <c r="N74" s="17">
        <f t="shared" si="45"/>
        <v>18656</v>
      </c>
      <c r="O74" s="17">
        <f t="shared" si="45"/>
        <v>431338</v>
      </c>
      <c r="P74" s="17">
        <f t="shared" si="45"/>
        <v>-383696</v>
      </c>
      <c r="Q74" s="17">
        <f t="shared" si="45"/>
        <v>47642</v>
      </c>
      <c r="R74" s="17">
        <f t="shared" si="45"/>
        <v>945677</v>
      </c>
      <c r="S74" s="17">
        <f t="shared" si="45"/>
        <v>-177101</v>
      </c>
      <c r="T74" s="17">
        <f t="shared" si="45"/>
        <v>768576</v>
      </c>
      <c r="U74" s="17">
        <f t="shared" si="45"/>
        <v>8286</v>
      </c>
      <c r="V74" s="17">
        <f t="shared" si="45"/>
        <v>0</v>
      </c>
      <c r="W74" s="17">
        <f t="shared" si="45"/>
        <v>8286</v>
      </c>
      <c r="X74" s="17">
        <f t="shared" si="45"/>
        <v>60266</v>
      </c>
      <c r="Y74" s="17">
        <f t="shared" si="45"/>
        <v>0</v>
      </c>
      <c r="Z74" s="17">
        <f t="shared" si="45"/>
        <v>60266</v>
      </c>
      <c r="AA74" s="17">
        <f t="shared" si="45"/>
        <v>34685</v>
      </c>
      <c r="AB74" s="17">
        <f t="shared" si="45"/>
        <v>0</v>
      </c>
      <c r="AC74" s="17">
        <f t="shared" si="45"/>
        <v>34685</v>
      </c>
      <c r="AD74" s="17">
        <f t="shared" si="45"/>
        <v>0</v>
      </c>
      <c r="AE74" s="17">
        <f t="shared" si="45"/>
        <v>0</v>
      </c>
      <c r="AF74" s="17">
        <f t="shared" si="45"/>
        <v>0</v>
      </c>
      <c r="AG74" s="17">
        <f t="shared" si="45"/>
        <v>0</v>
      </c>
      <c r="AH74" s="17">
        <f t="shared" si="45"/>
        <v>0</v>
      </c>
      <c r="AI74" s="17">
        <f t="shared" si="45"/>
        <v>0</v>
      </c>
      <c r="AJ74" s="17">
        <f t="shared" si="45"/>
        <v>0</v>
      </c>
      <c r="AK74" s="17">
        <f t="shared" si="45"/>
        <v>0</v>
      </c>
      <c r="AL74" s="17">
        <f t="shared" si="45"/>
        <v>0</v>
      </c>
      <c r="AM74" s="17">
        <f t="shared" si="45"/>
        <v>0</v>
      </c>
      <c r="AN74" s="17">
        <f t="shared" si="45"/>
        <v>0</v>
      </c>
      <c r="AO74" s="17">
        <f t="shared" si="45"/>
        <v>0</v>
      </c>
    </row>
    <row r="75" spans="1:41" s="58" customFormat="1" ht="18" thickTop="1" x14ac:dyDescent="0.3">
      <c r="A75" s="15" t="s">
        <v>1</v>
      </c>
      <c r="B75" s="16"/>
      <c r="C75" s="46"/>
      <c r="D75" s="24"/>
      <c r="E75" s="3"/>
      <c r="F75" s="65"/>
      <c r="G75" s="65"/>
      <c r="H75" s="65"/>
      <c r="I75" s="66"/>
      <c r="J75" s="66"/>
      <c r="K75" s="66"/>
      <c r="L75" s="65"/>
      <c r="M75" s="65"/>
      <c r="N75" s="65"/>
      <c r="O75" s="66"/>
      <c r="P75" s="66"/>
      <c r="Q75" s="66"/>
      <c r="R75" s="65"/>
      <c r="S75" s="65"/>
      <c r="T75" s="65"/>
      <c r="U75" s="66"/>
      <c r="V75" s="66"/>
      <c r="W75" s="66"/>
      <c r="X75" s="65"/>
      <c r="Y75" s="65"/>
      <c r="Z75" s="65"/>
      <c r="AA75" s="66"/>
      <c r="AB75" s="66"/>
      <c r="AC75" s="66"/>
      <c r="AD75" s="65"/>
      <c r="AE75" s="65"/>
      <c r="AF75" s="65"/>
      <c r="AG75" s="66"/>
      <c r="AH75" s="66"/>
      <c r="AI75" s="66"/>
      <c r="AJ75" s="65"/>
      <c r="AK75" s="65"/>
      <c r="AL75" s="65"/>
      <c r="AM75" s="66"/>
      <c r="AN75" s="66"/>
      <c r="AO75" s="66"/>
    </row>
    <row r="76" spans="1:41" s="58" customFormat="1" ht="17.25" x14ac:dyDescent="0.3">
      <c r="A76" s="4" t="s">
        <v>26</v>
      </c>
      <c r="B76" s="16"/>
      <c r="C76" s="19"/>
      <c r="D76" s="24"/>
      <c r="E76" s="3"/>
      <c r="F76" s="65"/>
      <c r="G76" s="65"/>
      <c r="H76" s="65"/>
      <c r="I76" s="66"/>
      <c r="J76" s="66"/>
      <c r="K76" s="66"/>
      <c r="L76" s="65"/>
      <c r="M76" s="65"/>
      <c r="N76" s="65"/>
      <c r="O76" s="66"/>
      <c r="P76" s="66"/>
      <c r="Q76" s="66"/>
      <c r="R76" s="65"/>
      <c r="S76" s="65"/>
      <c r="T76" s="65"/>
      <c r="U76" s="66"/>
      <c r="V76" s="66"/>
      <c r="W76" s="66"/>
      <c r="X76" s="65"/>
      <c r="Y76" s="65"/>
      <c r="Z76" s="65"/>
      <c r="AA76" s="66"/>
      <c r="AB76" s="66"/>
      <c r="AC76" s="66"/>
      <c r="AD76" s="65"/>
      <c r="AE76" s="65"/>
      <c r="AF76" s="65"/>
      <c r="AG76" s="66"/>
      <c r="AH76" s="66"/>
      <c r="AI76" s="66"/>
      <c r="AJ76" s="65"/>
      <c r="AK76" s="65"/>
      <c r="AL76" s="65"/>
      <c r="AM76" s="66"/>
      <c r="AN76" s="66"/>
      <c r="AO76" s="66"/>
    </row>
    <row r="77" spans="1:41" s="58" customFormat="1" ht="17.25" x14ac:dyDescent="0.3">
      <c r="A77" s="4"/>
      <c r="B77" s="16"/>
      <c r="C77" s="19"/>
      <c r="D77" s="24"/>
      <c r="E77" s="3"/>
      <c r="F77" s="65"/>
      <c r="G77" s="65"/>
      <c r="H77" s="65"/>
      <c r="I77" s="66"/>
      <c r="J77" s="66"/>
      <c r="K77" s="66"/>
      <c r="L77" s="65"/>
      <c r="M77" s="65"/>
      <c r="N77" s="65"/>
      <c r="O77" s="66"/>
      <c r="P77" s="66"/>
      <c r="Q77" s="66"/>
      <c r="R77" s="65"/>
      <c r="S77" s="65"/>
      <c r="T77" s="65"/>
      <c r="U77" s="66"/>
      <c r="V77" s="66"/>
      <c r="W77" s="66"/>
      <c r="X77" s="65"/>
      <c r="Y77" s="65"/>
      <c r="Z77" s="65"/>
      <c r="AA77" s="66"/>
      <c r="AB77" s="66"/>
      <c r="AC77" s="66"/>
      <c r="AD77" s="65"/>
      <c r="AE77" s="65"/>
      <c r="AF77" s="65"/>
      <c r="AG77" s="66"/>
      <c r="AH77" s="66"/>
      <c r="AI77" s="66"/>
      <c r="AJ77" s="65"/>
      <c r="AK77" s="65"/>
      <c r="AL77" s="65"/>
      <c r="AM77" s="66"/>
      <c r="AN77" s="66"/>
      <c r="AO77" s="66"/>
    </row>
    <row r="78" spans="1:41" s="58" customFormat="1" ht="17.25" x14ac:dyDescent="0.3">
      <c r="A78" s="4" t="s">
        <v>27</v>
      </c>
      <c r="B78" s="25"/>
      <c r="C78" s="47"/>
      <c r="D78" s="48"/>
      <c r="E78" s="3"/>
      <c r="F78" s="65"/>
      <c r="G78" s="65"/>
      <c r="H78" s="65"/>
      <c r="I78" s="66"/>
      <c r="J78" s="66"/>
      <c r="K78" s="66"/>
      <c r="L78" s="65"/>
      <c r="M78" s="65"/>
      <c r="N78" s="65"/>
      <c r="O78" s="66"/>
      <c r="P78" s="66"/>
      <c r="Q78" s="66"/>
      <c r="R78" s="65"/>
      <c r="S78" s="65"/>
      <c r="T78" s="65"/>
      <c r="U78" s="66"/>
      <c r="V78" s="66"/>
      <c r="W78" s="66"/>
      <c r="X78" s="65"/>
      <c r="Y78" s="65"/>
      <c r="Z78" s="65"/>
      <c r="AA78" s="66"/>
      <c r="AB78" s="66"/>
      <c r="AC78" s="66"/>
      <c r="AD78" s="65"/>
      <c r="AE78" s="65"/>
      <c r="AF78" s="65"/>
      <c r="AG78" s="66"/>
      <c r="AH78" s="66"/>
      <c r="AI78" s="66"/>
      <c r="AJ78" s="65"/>
      <c r="AK78" s="65"/>
      <c r="AL78" s="65"/>
      <c r="AM78" s="66"/>
      <c r="AN78" s="66"/>
      <c r="AO78" s="66"/>
    </row>
    <row r="79" spans="1:41" s="58" customFormat="1" ht="17.25" x14ac:dyDescent="0.3">
      <c r="A79" s="4" t="s">
        <v>28</v>
      </c>
      <c r="B79" s="16"/>
      <c r="C79" s="19"/>
      <c r="D79" s="24"/>
      <c r="E79" s="3"/>
      <c r="F79" s="65"/>
      <c r="G79" s="65"/>
      <c r="H79" s="65"/>
      <c r="I79" s="66"/>
      <c r="J79" s="66"/>
      <c r="K79" s="66"/>
      <c r="L79" s="65"/>
      <c r="M79" s="65"/>
      <c r="N79" s="65"/>
      <c r="O79" s="66"/>
      <c r="P79" s="66"/>
      <c r="Q79" s="66"/>
      <c r="R79" s="65"/>
      <c r="S79" s="65"/>
      <c r="T79" s="65"/>
      <c r="U79" s="66"/>
      <c r="V79" s="66"/>
      <c r="W79" s="66"/>
      <c r="X79" s="65"/>
      <c r="Y79" s="65"/>
      <c r="Z79" s="65"/>
      <c r="AA79" s="66"/>
      <c r="AB79" s="66"/>
      <c r="AC79" s="66"/>
      <c r="AD79" s="65"/>
      <c r="AE79" s="65"/>
      <c r="AF79" s="65"/>
      <c r="AG79" s="66"/>
      <c r="AH79" s="66"/>
      <c r="AI79" s="66"/>
      <c r="AJ79" s="65"/>
      <c r="AK79" s="65"/>
      <c r="AL79" s="65"/>
      <c r="AM79" s="66"/>
      <c r="AN79" s="66"/>
      <c r="AO79" s="66"/>
    </row>
    <row r="80" spans="1:41" s="58" customFormat="1" ht="17.25" x14ac:dyDescent="0.3">
      <c r="A80" s="15" t="s">
        <v>29</v>
      </c>
      <c r="B80" s="16"/>
      <c r="C80" s="19">
        <v>0</v>
      </c>
      <c r="D80" s="24"/>
      <c r="E80" s="3"/>
      <c r="F80" s="65"/>
      <c r="G80" s="65"/>
      <c r="H80" s="65"/>
      <c r="I80" s="66"/>
      <c r="J80" s="66"/>
      <c r="K80" s="66"/>
      <c r="L80" s="65"/>
      <c r="M80" s="65"/>
      <c r="N80" s="65"/>
      <c r="O80" s="66"/>
      <c r="P80" s="66"/>
      <c r="Q80" s="66"/>
      <c r="R80" s="65"/>
      <c r="S80" s="65"/>
      <c r="T80" s="65"/>
      <c r="U80" s="66"/>
      <c r="V80" s="66"/>
      <c r="W80" s="66"/>
      <c r="X80" s="65"/>
      <c r="Y80" s="65"/>
      <c r="Z80" s="65"/>
      <c r="AA80" s="66"/>
      <c r="AB80" s="66"/>
      <c r="AC80" s="66"/>
      <c r="AD80" s="65"/>
      <c r="AE80" s="65"/>
      <c r="AF80" s="65"/>
      <c r="AG80" s="66"/>
      <c r="AH80" s="66"/>
      <c r="AI80" s="66"/>
      <c r="AJ80" s="65"/>
      <c r="AK80" s="65"/>
      <c r="AL80" s="65"/>
      <c r="AM80" s="66"/>
      <c r="AN80" s="66"/>
      <c r="AO80" s="66"/>
    </row>
    <row r="81" spans="1:41" s="58" customFormat="1" ht="17.25" x14ac:dyDescent="0.3">
      <c r="A81" s="4" t="s">
        <v>30</v>
      </c>
      <c r="B81" s="16"/>
      <c r="C81" s="18">
        <f>C80</f>
        <v>0</v>
      </c>
      <c r="D81" s="24"/>
      <c r="E81" s="3"/>
      <c r="F81" s="65"/>
      <c r="G81" s="65"/>
      <c r="H81" s="65"/>
      <c r="I81" s="66"/>
      <c r="J81" s="66"/>
      <c r="K81" s="66"/>
      <c r="L81" s="65"/>
      <c r="M81" s="65"/>
      <c r="N81" s="65"/>
      <c r="O81" s="66"/>
      <c r="P81" s="66"/>
      <c r="Q81" s="66"/>
      <c r="R81" s="65"/>
      <c r="S81" s="65"/>
      <c r="T81" s="65"/>
      <c r="U81" s="66"/>
      <c r="V81" s="66"/>
      <c r="W81" s="66"/>
      <c r="X81" s="65"/>
      <c r="Y81" s="65"/>
      <c r="Z81" s="65"/>
      <c r="AA81" s="66"/>
      <c r="AB81" s="66"/>
      <c r="AC81" s="66"/>
      <c r="AD81" s="65"/>
      <c r="AE81" s="65"/>
      <c r="AF81" s="65"/>
      <c r="AG81" s="66"/>
      <c r="AH81" s="66"/>
      <c r="AI81" s="66"/>
      <c r="AJ81" s="65"/>
      <c r="AK81" s="65"/>
      <c r="AL81" s="65"/>
      <c r="AM81" s="66"/>
      <c r="AN81" s="66"/>
      <c r="AO81" s="66"/>
    </row>
    <row r="82" spans="1:41" s="58" customFormat="1" ht="17.25" x14ac:dyDescent="0.3">
      <c r="A82" s="15"/>
      <c r="B82" s="16"/>
      <c r="C82" s="19"/>
      <c r="D82" s="24"/>
      <c r="E82" s="3"/>
      <c r="F82" s="65"/>
      <c r="G82" s="65"/>
      <c r="H82" s="65"/>
      <c r="I82" s="66"/>
      <c r="J82" s="66"/>
      <c r="K82" s="66"/>
      <c r="L82" s="65"/>
      <c r="M82" s="65"/>
      <c r="N82" s="65"/>
      <c r="O82" s="66"/>
      <c r="P82" s="66"/>
      <c r="Q82" s="66"/>
      <c r="R82" s="65"/>
      <c r="S82" s="65"/>
      <c r="T82" s="65"/>
      <c r="U82" s="66"/>
      <c r="V82" s="66"/>
      <c r="W82" s="66"/>
      <c r="X82" s="65"/>
      <c r="Y82" s="65"/>
      <c r="Z82" s="65"/>
      <c r="AA82" s="66"/>
      <c r="AB82" s="66"/>
      <c r="AC82" s="66"/>
      <c r="AD82" s="65"/>
      <c r="AE82" s="65"/>
      <c r="AF82" s="65"/>
      <c r="AG82" s="66"/>
      <c r="AH82" s="66"/>
      <c r="AI82" s="66"/>
      <c r="AJ82" s="65"/>
      <c r="AK82" s="65"/>
      <c r="AL82" s="65"/>
      <c r="AM82" s="66"/>
      <c r="AN82" s="66"/>
      <c r="AO82" s="66"/>
    </row>
    <row r="83" spans="1:41" s="58" customFormat="1" ht="17.25" x14ac:dyDescent="0.3">
      <c r="A83" s="15" t="s">
        <v>31</v>
      </c>
      <c r="B83" s="16"/>
      <c r="C83" s="14">
        <f>H83+K83+N83+Q83+T83+W83+Z83+AC83+AF83+AI83+AL83+AO83</f>
        <v>1051139</v>
      </c>
      <c r="D83" s="24"/>
      <c r="E83" s="3"/>
      <c r="F83" s="65">
        <v>13901</v>
      </c>
      <c r="G83" s="65"/>
      <c r="H83" s="65">
        <f t="shared" si="27"/>
        <v>13901</v>
      </c>
      <c r="I83" s="66">
        <v>152884</v>
      </c>
      <c r="J83" s="66"/>
      <c r="K83" s="66">
        <f t="shared" si="28"/>
        <v>152884</v>
      </c>
      <c r="L83" s="65">
        <v>10225</v>
      </c>
      <c r="M83" s="65"/>
      <c r="N83" s="65">
        <f t="shared" si="29"/>
        <v>10225</v>
      </c>
      <c r="O83" s="66">
        <v>312485</v>
      </c>
      <c r="P83" s="66"/>
      <c r="Q83" s="66">
        <f t="shared" si="30"/>
        <v>312485</v>
      </c>
      <c r="R83" s="65">
        <v>493192</v>
      </c>
      <c r="S83" s="65"/>
      <c r="T83" s="65">
        <f t="shared" si="31"/>
        <v>493192</v>
      </c>
      <c r="U83" s="66">
        <v>-454</v>
      </c>
      <c r="V83" s="66"/>
      <c r="W83" s="66">
        <f t="shared" si="32"/>
        <v>-454</v>
      </c>
      <c r="X83" s="65">
        <v>40326</v>
      </c>
      <c r="Y83" s="65"/>
      <c r="Z83" s="65">
        <f t="shared" si="33"/>
        <v>40326</v>
      </c>
      <c r="AA83" s="66">
        <v>28580</v>
      </c>
      <c r="AB83" s="66"/>
      <c r="AC83" s="66">
        <f t="shared" si="34"/>
        <v>28580</v>
      </c>
      <c r="AD83" s="65">
        <v>0</v>
      </c>
      <c r="AE83" s="65"/>
      <c r="AF83" s="65">
        <f t="shared" si="35"/>
        <v>0</v>
      </c>
      <c r="AG83" s="66"/>
      <c r="AH83" s="66"/>
      <c r="AI83" s="66">
        <f t="shared" si="36"/>
        <v>0</v>
      </c>
      <c r="AJ83" s="65"/>
      <c r="AK83" s="65"/>
      <c r="AL83" s="65">
        <f t="shared" si="37"/>
        <v>0</v>
      </c>
      <c r="AM83" s="66"/>
      <c r="AN83" s="66"/>
      <c r="AO83" s="66">
        <f t="shared" ref="AO83" si="46">AM83+AN83</f>
        <v>0</v>
      </c>
    </row>
    <row r="84" spans="1:41" s="58" customFormat="1" ht="17.25" x14ac:dyDescent="0.3">
      <c r="A84" s="4" t="s">
        <v>32</v>
      </c>
      <c r="B84" s="16"/>
      <c r="C84" s="17">
        <f>C83</f>
        <v>1051139</v>
      </c>
      <c r="D84" s="28"/>
      <c r="E84" s="3"/>
      <c r="F84" s="17">
        <f>F83</f>
        <v>13901</v>
      </c>
      <c r="G84" s="17">
        <f t="shared" ref="G84:AO84" si="47">G83</f>
        <v>0</v>
      </c>
      <c r="H84" s="17">
        <f t="shared" si="47"/>
        <v>13901</v>
      </c>
      <c r="I84" s="17">
        <f t="shared" si="47"/>
        <v>152884</v>
      </c>
      <c r="J84" s="17">
        <f t="shared" si="47"/>
        <v>0</v>
      </c>
      <c r="K84" s="17">
        <f t="shared" si="47"/>
        <v>152884</v>
      </c>
      <c r="L84" s="17">
        <f t="shared" si="47"/>
        <v>10225</v>
      </c>
      <c r="M84" s="17">
        <f t="shared" si="47"/>
        <v>0</v>
      </c>
      <c r="N84" s="17">
        <f t="shared" si="47"/>
        <v>10225</v>
      </c>
      <c r="O84" s="17">
        <f t="shared" si="47"/>
        <v>312485</v>
      </c>
      <c r="P84" s="17">
        <f t="shared" si="47"/>
        <v>0</v>
      </c>
      <c r="Q84" s="17">
        <f t="shared" si="47"/>
        <v>312485</v>
      </c>
      <c r="R84" s="17">
        <f t="shared" si="47"/>
        <v>493192</v>
      </c>
      <c r="S84" s="17">
        <f t="shared" si="47"/>
        <v>0</v>
      </c>
      <c r="T84" s="17">
        <f t="shared" si="47"/>
        <v>493192</v>
      </c>
      <c r="U84" s="17">
        <f t="shared" si="47"/>
        <v>-454</v>
      </c>
      <c r="V84" s="17">
        <f t="shared" si="47"/>
        <v>0</v>
      </c>
      <c r="W84" s="17">
        <f t="shared" si="47"/>
        <v>-454</v>
      </c>
      <c r="X84" s="17">
        <f t="shared" si="47"/>
        <v>40326</v>
      </c>
      <c r="Y84" s="17">
        <f t="shared" si="47"/>
        <v>0</v>
      </c>
      <c r="Z84" s="17">
        <f t="shared" si="47"/>
        <v>40326</v>
      </c>
      <c r="AA84" s="17">
        <f t="shared" si="47"/>
        <v>28580</v>
      </c>
      <c r="AB84" s="17">
        <f t="shared" si="47"/>
        <v>0</v>
      </c>
      <c r="AC84" s="17">
        <f t="shared" si="47"/>
        <v>28580</v>
      </c>
      <c r="AD84" s="17">
        <f t="shared" si="47"/>
        <v>0</v>
      </c>
      <c r="AE84" s="17">
        <f t="shared" si="47"/>
        <v>0</v>
      </c>
      <c r="AF84" s="17">
        <f t="shared" si="47"/>
        <v>0</v>
      </c>
      <c r="AG84" s="17">
        <f t="shared" si="47"/>
        <v>0</v>
      </c>
      <c r="AH84" s="17">
        <f t="shared" si="47"/>
        <v>0</v>
      </c>
      <c r="AI84" s="17">
        <f t="shared" si="47"/>
        <v>0</v>
      </c>
      <c r="AJ84" s="17">
        <f t="shared" si="47"/>
        <v>0</v>
      </c>
      <c r="AK84" s="17">
        <f t="shared" si="47"/>
        <v>0</v>
      </c>
      <c r="AL84" s="17">
        <f t="shared" si="47"/>
        <v>0</v>
      </c>
      <c r="AM84" s="17">
        <f t="shared" si="47"/>
        <v>0</v>
      </c>
      <c r="AN84" s="17">
        <f t="shared" si="47"/>
        <v>0</v>
      </c>
      <c r="AO84" s="17">
        <f t="shared" si="47"/>
        <v>0</v>
      </c>
    </row>
    <row r="85" spans="1:41" s="58" customFormat="1" ht="17.25" x14ac:dyDescent="0.3">
      <c r="A85" s="4"/>
      <c r="B85" s="16"/>
      <c r="C85" s="17"/>
      <c r="D85" s="28"/>
      <c r="E85" s="3"/>
      <c r="F85" s="65"/>
      <c r="G85" s="65"/>
      <c r="H85" s="65"/>
      <c r="I85" s="66"/>
      <c r="J85" s="66"/>
      <c r="K85" s="66"/>
      <c r="L85" s="65"/>
      <c r="M85" s="65"/>
      <c r="N85" s="65"/>
      <c r="O85" s="66"/>
      <c r="P85" s="66"/>
      <c r="Q85" s="66"/>
      <c r="R85" s="65"/>
      <c r="S85" s="65"/>
      <c r="T85" s="65"/>
      <c r="U85" s="66"/>
      <c r="V85" s="66"/>
      <c r="W85" s="66"/>
      <c r="X85" s="65"/>
      <c r="Y85" s="65"/>
      <c r="Z85" s="65"/>
      <c r="AA85" s="66"/>
      <c r="AB85" s="66"/>
      <c r="AC85" s="66"/>
      <c r="AD85" s="65"/>
      <c r="AE85" s="65"/>
      <c r="AF85" s="65"/>
      <c r="AG85" s="66"/>
      <c r="AH85" s="66"/>
      <c r="AI85" s="66"/>
      <c r="AJ85" s="65"/>
      <c r="AK85" s="65"/>
      <c r="AL85" s="65"/>
      <c r="AM85" s="66"/>
      <c r="AN85" s="66"/>
      <c r="AO85" s="66"/>
    </row>
    <row r="86" spans="1:41" s="58" customFormat="1" ht="17.25" x14ac:dyDescent="0.3">
      <c r="A86" s="4" t="s">
        <v>33</v>
      </c>
      <c r="B86" s="16"/>
      <c r="C86" s="28"/>
      <c r="D86" s="28"/>
      <c r="E86" s="3"/>
      <c r="F86" s="65"/>
      <c r="G86" s="65"/>
      <c r="H86" s="65">
        <f t="shared" si="27"/>
        <v>0</v>
      </c>
      <c r="I86" s="66"/>
      <c r="J86" s="66"/>
      <c r="K86" s="66">
        <f t="shared" si="28"/>
        <v>0</v>
      </c>
      <c r="L86" s="65"/>
      <c r="M86" s="65"/>
      <c r="N86" s="65">
        <f t="shared" si="29"/>
        <v>0</v>
      </c>
      <c r="O86" s="66"/>
      <c r="P86" s="66"/>
      <c r="Q86" s="66">
        <f t="shared" si="30"/>
        <v>0</v>
      </c>
      <c r="R86" s="65"/>
      <c r="S86" s="65"/>
      <c r="T86" s="65">
        <f t="shared" si="31"/>
        <v>0</v>
      </c>
      <c r="U86" s="66"/>
      <c r="V86" s="66"/>
      <c r="W86" s="66">
        <f t="shared" si="32"/>
        <v>0</v>
      </c>
      <c r="X86" s="65"/>
      <c r="Y86" s="65"/>
      <c r="Z86" s="65">
        <f t="shared" si="33"/>
        <v>0</v>
      </c>
      <c r="AA86" s="66"/>
      <c r="AB86" s="66"/>
      <c r="AC86" s="66">
        <f t="shared" si="34"/>
        <v>0</v>
      </c>
      <c r="AD86" s="65"/>
      <c r="AE86" s="65"/>
      <c r="AF86" s="65">
        <f t="shared" si="35"/>
        <v>0</v>
      </c>
      <c r="AG86" s="66"/>
      <c r="AH86" s="66"/>
      <c r="AI86" s="66">
        <f t="shared" si="36"/>
        <v>0</v>
      </c>
      <c r="AJ86" s="65"/>
      <c r="AK86" s="65"/>
      <c r="AL86" s="65">
        <f t="shared" si="37"/>
        <v>0</v>
      </c>
      <c r="AM86" s="66"/>
      <c r="AN86" s="66"/>
      <c r="AO86" s="66">
        <f t="shared" ref="AO86:AO88" si="48">AM86+AN86</f>
        <v>0</v>
      </c>
    </row>
    <row r="87" spans="1:41" s="58" customFormat="1" ht="17.25" x14ac:dyDescent="0.3">
      <c r="A87" s="70" t="s">
        <v>78</v>
      </c>
      <c r="B87" s="16"/>
      <c r="C87" s="21"/>
      <c r="D87" s="28"/>
      <c r="E87" s="3"/>
      <c r="F87" s="65"/>
      <c r="G87" s="65"/>
      <c r="H87" s="65">
        <f t="shared" si="27"/>
        <v>0</v>
      </c>
      <c r="I87" s="66"/>
      <c r="J87" s="66"/>
      <c r="K87" s="66">
        <f t="shared" si="28"/>
        <v>0</v>
      </c>
      <c r="L87" s="65"/>
      <c r="M87" s="65"/>
      <c r="N87" s="65">
        <f t="shared" si="29"/>
        <v>0</v>
      </c>
      <c r="O87" s="66"/>
      <c r="P87" s="66"/>
      <c r="Q87" s="66">
        <f t="shared" si="30"/>
        <v>0</v>
      </c>
      <c r="R87" s="65"/>
      <c r="S87" s="65"/>
      <c r="T87" s="65">
        <f t="shared" si="31"/>
        <v>0</v>
      </c>
      <c r="U87" s="66"/>
      <c r="V87" s="66"/>
      <c r="W87" s="66">
        <f t="shared" si="32"/>
        <v>0</v>
      </c>
      <c r="X87" s="65"/>
      <c r="Y87" s="65"/>
      <c r="Z87" s="65">
        <f t="shared" si="33"/>
        <v>0</v>
      </c>
      <c r="AA87" s="66"/>
      <c r="AB87" s="66"/>
      <c r="AC87" s="66">
        <f t="shared" si="34"/>
        <v>0</v>
      </c>
      <c r="AD87" s="65"/>
      <c r="AE87" s="65"/>
      <c r="AF87" s="65">
        <f t="shared" si="35"/>
        <v>0</v>
      </c>
      <c r="AG87" s="66"/>
      <c r="AH87" s="66"/>
      <c r="AI87" s="66">
        <f t="shared" si="36"/>
        <v>0</v>
      </c>
      <c r="AJ87" s="65"/>
      <c r="AK87" s="65"/>
      <c r="AL87" s="65">
        <f t="shared" si="37"/>
        <v>0</v>
      </c>
      <c r="AM87" s="66"/>
      <c r="AN87" s="66"/>
      <c r="AO87" s="66">
        <f t="shared" si="48"/>
        <v>0</v>
      </c>
    </row>
    <row r="88" spans="1:41" s="58" customFormat="1" ht="17.25" x14ac:dyDescent="0.3">
      <c r="A88" s="15" t="s">
        <v>34</v>
      </c>
      <c r="B88" s="16"/>
      <c r="C88" s="14">
        <f>H88+K88+N88+Q88+T88+W88+Z88+AC88+AF88+AI88+AL88+AO88</f>
        <v>1237984</v>
      </c>
      <c r="D88" s="28"/>
      <c r="E88" s="3"/>
      <c r="F88" s="65">
        <v>1237984</v>
      </c>
      <c r="G88" s="65"/>
      <c r="H88" s="65">
        <f t="shared" si="27"/>
        <v>1237984</v>
      </c>
      <c r="I88" s="66">
        <v>0</v>
      </c>
      <c r="J88" s="66"/>
      <c r="K88" s="66">
        <f t="shared" si="28"/>
        <v>0</v>
      </c>
      <c r="L88" s="65">
        <v>0</v>
      </c>
      <c r="M88" s="65"/>
      <c r="N88" s="65">
        <f t="shared" si="29"/>
        <v>0</v>
      </c>
      <c r="O88" s="66">
        <v>0</v>
      </c>
      <c r="P88" s="66"/>
      <c r="Q88" s="66">
        <f t="shared" si="30"/>
        <v>0</v>
      </c>
      <c r="R88" s="65">
        <v>0</v>
      </c>
      <c r="S88" s="65"/>
      <c r="T88" s="65">
        <f t="shared" si="31"/>
        <v>0</v>
      </c>
      <c r="U88" s="66">
        <v>0</v>
      </c>
      <c r="V88" s="66"/>
      <c r="W88" s="66">
        <f t="shared" si="32"/>
        <v>0</v>
      </c>
      <c r="X88" s="65"/>
      <c r="Y88" s="65"/>
      <c r="Z88" s="65">
        <f t="shared" si="33"/>
        <v>0</v>
      </c>
      <c r="AA88" s="66"/>
      <c r="AB88" s="66"/>
      <c r="AC88" s="66">
        <f t="shared" si="34"/>
        <v>0</v>
      </c>
      <c r="AD88" s="65"/>
      <c r="AE88" s="65"/>
      <c r="AF88" s="65">
        <f t="shared" si="35"/>
        <v>0</v>
      </c>
      <c r="AG88" s="66"/>
      <c r="AH88" s="66"/>
      <c r="AI88" s="66">
        <f t="shared" si="36"/>
        <v>0</v>
      </c>
      <c r="AJ88" s="65"/>
      <c r="AK88" s="65"/>
      <c r="AL88" s="65">
        <f t="shared" si="37"/>
        <v>0</v>
      </c>
      <c r="AM88" s="66"/>
      <c r="AN88" s="66"/>
      <c r="AO88" s="66">
        <f t="shared" si="48"/>
        <v>0</v>
      </c>
    </row>
    <row r="89" spans="1:41" s="58" customFormat="1" ht="17.25" x14ac:dyDescent="0.3">
      <c r="A89" s="71" t="s">
        <v>77</v>
      </c>
      <c r="B89" s="16"/>
      <c r="C89" s="17">
        <f>C88</f>
        <v>1237984</v>
      </c>
      <c r="D89" s="28"/>
      <c r="E89" s="3"/>
      <c r="F89" s="17">
        <f>F88</f>
        <v>1237984</v>
      </c>
      <c r="G89" s="17">
        <f t="shared" ref="G89:AO89" si="49">G88</f>
        <v>0</v>
      </c>
      <c r="H89" s="17">
        <f t="shared" si="49"/>
        <v>1237984</v>
      </c>
      <c r="I89" s="17">
        <f t="shared" si="49"/>
        <v>0</v>
      </c>
      <c r="J89" s="17">
        <f t="shared" si="49"/>
        <v>0</v>
      </c>
      <c r="K89" s="17">
        <f t="shared" si="49"/>
        <v>0</v>
      </c>
      <c r="L89" s="17">
        <f t="shared" si="49"/>
        <v>0</v>
      </c>
      <c r="M89" s="17">
        <f t="shared" si="49"/>
        <v>0</v>
      </c>
      <c r="N89" s="17">
        <f t="shared" si="49"/>
        <v>0</v>
      </c>
      <c r="O89" s="17">
        <f t="shared" si="49"/>
        <v>0</v>
      </c>
      <c r="P89" s="17">
        <f t="shared" si="49"/>
        <v>0</v>
      </c>
      <c r="Q89" s="17">
        <f t="shared" si="49"/>
        <v>0</v>
      </c>
      <c r="R89" s="17">
        <f t="shared" si="49"/>
        <v>0</v>
      </c>
      <c r="S89" s="17">
        <f t="shared" si="49"/>
        <v>0</v>
      </c>
      <c r="T89" s="17">
        <f t="shared" si="49"/>
        <v>0</v>
      </c>
      <c r="U89" s="17">
        <f t="shared" si="49"/>
        <v>0</v>
      </c>
      <c r="V89" s="17">
        <f t="shared" si="49"/>
        <v>0</v>
      </c>
      <c r="W89" s="17">
        <f t="shared" si="49"/>
        <v>0</v>
      </c>
      <c r="X89" s="17">
        <f t="shared" si="49"/>
        <v>0</v>
      </c>
      <c r="Y89" s="17">
        <f t="shared" si="49"/>
        <v>0</v>
      </c>
      <c r="Z89" s="17">
        <f t="shared" si="49"/>
        <v>0</v>
      </c>
      <c r="AA89" s="17">
        <f t="shared" si="49"/>
        <v>0</v>
      </c>
      <c r="AB89" s="17">
        <f t="shared" si="49"/>
        <v>0</v>
      </c>
      <c r="AC89" s="17">
        <f t="shared" si="49"/>
        <v>0</v>
      </c>
      <c r="AD89" s="17">
        <f t="shared" si="49"/>
        <v>0</v>
      </c>
      <c r="AE89" s="17">
        <f t="shared" si="49"/>
        <v>0</v>
      </c>
      <c r="AF89" s="17">
        <f t="shared" si="49"/>
        <v>0</v>
      </c>
      <c r="AG89" s="17">
        <f t="shared" si="49"/>
        <v>0</v>
      </c>
      <c r="AH89" s="17">
        <f t="shared" si="49"/>
        <v>0</v>
      </c>
      <c r="AI89" s="17">
        <f t="shared" si="49"/>
        <v>0</v>
      </c>
      <c r="AJ89" s="17">
        <f t="shared" si="49"/>
        <v>0</v>
      </c>
      <c r="AK89" s="17">
        <f t="shared" si="49"/>
        <v>0</v>
      </c>
      <c r="AL89" s="17">
        <f t="shared" si="49"/>
        <v>0</v>
      </c>
      <c r="AM89" s="17">
        <f t="shared" si="49"/>
        <v>0</v>
      </c>
      <c r="AN89" s="17">
        <f t="shared" si="49"/>
        <v>0</v>
      </c>
      <c r="AO89" s="17">
        <f t="shared" si="49"/>
        <v>0</v>
      </c>
    </row>
    <row r="90" spans="1:41" s="58" customFormat="1" ht="17.25" x14ac:dyDescent="0.3">
      <c r="A90" s="15"/>
      <c r="B90" s="16"/>
      <c r="C90" s="24"/>
      <c r="D90" s="24"/>
      <c r="E90" s="3"/>
      <c r="F90" s="65"/>
      <c r="G90" s="65"/>
      <c r="H90" s="65"/>
      <c r="I90" s="66"/>
      <c r="J90" s="66"/>
      <c r="K90" s="66"/>
      <c r="L90" s="65"/>
      <c r="M90" s="65"/>
      <c r="N90" s="65"/>
      <c r="O90" s="66"/>
      <c r="P90" s="66"/>
      <c r="Q90" s="66"/>
      <c r="R90" s="65"/>
      <c r="S90" s="65"/>
      <c r="T90" s="65"/>
      <c r="U90" s="66"/>
      <c r="V90" s="66"/>
      <c r="W90" s="66"/>
      <c r="X90" s="65"/>
      <c r="Y90" s="65"/>
      <c r="Z90" s="65"/>
      <c r="AA90" s="66"/>
      <c r="AB90" s="66"/>
      <c r="AC90" s="66"/>
      <c r="AD90" s="65"/>
      <c r="AE90" s="65"/>
      <c r="AF90" s="65"/>
      <c r="AG90" s="66"/>
      <c r="AH90" s="66"/>
      <c r="AI90" s="66"/>
      <c r="AJ90" s="65"/>
      <c r="AK90" s="65"/>
      <c r="AL90" s="65"/>
      <c r="AM90" s="66"/>
      <c r="AN90" s="66"/>
      <c r="AO90" s="66"/>
    </row>
    <row r="91" spans="1:41" s="58" customFormat="1" ht="17.25" x14ac:dyDescent="0.3">
      <c r="A91" s="70" t="s">
        <v>79</v>
      </c>
      <c r="B91" s="16"/>
      <c r="C91" s="19"/>
      <c r="D91" s="24"/>
      <c r="E91" s="3"/>
      <c r="F91" s="65"/>
      <c r="G91" s="65"/>
      <c r="H91" s="65"/>
      <c r="I91" s="66"/>
      <c r="J91" s="66"/>
      <c r="K91" s="66"/>
      <c r="L91" s="65"/>
      <c r="M91" s="65"/>
      <c r="N91" s="65"/>
      <c r="O91" s="66"/>
      <c r="P91" s="66"/>
      <c r="Q91" s="66"/>
      <c r="R91" s="65"/>
      <c r="S91" s="65"/>
      <c r="T91" s="65"/>
      <c r="U91" s="66"/>
      <c r="V91" s="66"/>
      <c r="W91" s="66"/>
      <c r="X91" s="65"/>
      <c r="Y91" s="65"/>
      <c r="Z91" s="65"/>
      <c r="AA91" s="66"/>
      <c r="AB91" s="66"/>
      <c r="AC91" s="66"/>
      <c r="AD91" s="65"/>
      <c r="AE91" s="65"/>
      <c r="AF91" s="65"/>
      <c r="AG91" s="66"/>
      <c r="AH91" s="66"/>
      <c r="AI91" s="66"/>
      <c r="AJ91" s="65"/>
      <c r="AK91" s="65"/>
      <c r="AL91" s="65"/>
      <c r="AM91" s="66"/>
      <c r="AN91" s="66"/>
      <c r="AO91" s="66"/>
    </row>
    <row r="92" spans="1:41" s="58" customFormat="1" ht="17.25" x14ac:dyDescent="0.3">
      <c r="A92" s="68" t="s">
        <v>75</v>
      </c>
      <c r="B92" s="16"/>
      <c r="C92" s="14">
        <f>H92+K92+N92+Q92+T92+W92+Z92+AC92+AF92+AI92+AL92+AO92</f>
        <v>298738</v>
      </c>
      <c r="D92" s="24"/>
      <c r="E92" s="3"/>
      <c r="F92" s="65">
        <v>298738</v>
      </c>
      <c r="G92" s="65"/>
      <c r="H92" s="65">
        <f t="shared" si="27"/>
        <v>298738</v>
      </c>
      <c r="I92" s="66"/>
      <c r="J92" s="66"/>
      <c r="K92" s="66">
        <f t="shared" si="28"/>
        <v>0</v>
      </c>
      <c r="L92" s="65">
        <v>0</v>
      </c>
      <c r="M92" s="65"/>
      <c r="N92" s="65">
        <f t="shared" si="29"/>
        <v>0</v>
      </c>
      <c r="O92" s="66">
        <v>0</v>
      </c>
      <c r="P92" s="66"/>
      <c r="Q92" s="66">
        <f t="shared" si="30"/>
        <v>0</v>
      </c>
      <c r="R92" s="65">
        <v>0</v>
      </c>
      <c r="S92" s="65"/>
      <c r="T92" s="65">
        <f t="shared" si="31"/>
        <v>0</v>
      </c>
      <c r="U92" s="66">
        <v>0</v>
      </c>
      <c r="V92" s="66"/>
      <c r="W92" s="66">
        <f t="shared" si="32"/>
        <v>0</v>
      </c>
      <c r="X92" s="65"/>
      <c r="Y92" s="65"/>
      <c r="Z92" s="65">
        <f t="shared" si="33"/>
        <v>0</v>
      </c>
      <c r="AA92" s="66"/>
      <c r="AB92" s="66"/>
      <c r="AC92" s="66">
        <f t="shared" si="34"/>
        <v>0</v>
      </c>
      <c r="AD92" s="65"/>
      <c r="AE92" s="65"/>
      <c r="AF92" s="65">
        <f t="shared" si="35"/>
        <v>0</v>
      </c>
      <c r="AG92" s="66"/>
      <c r="AH92" s="66"/>
      <c r="AI92" s="66">
        <f t="shared" si="36"/>
        <v>0</v>
      </c>
      <c r="AJ92" s="65"/>
      <c r="AK92" s="65"/>
      <c r="AL92" s="65">
        <f t="shared" si="37"/>
        <v>0</v>
      </c>
      <c r="AM92" s="66"/>
      <c r="AN92" s="66"/>
      <c r="AO92" s="66">
        <f t="shared" ref="AO92:AO95" si="50">AM92+AN92</f>
        <v>0</v>
      </c>
    </row>
    <row r="93" spans="1:41" s="58" customFormat="1" ht="17.25" x14ac:dyDescent="0.3">
      <c r="A93" s="15" t="s">
        <v>35</v>
      </c>
      <c r="B93" s="16"/>
      <c r="C93" s="14">
        <f>H93+K93+N93+Q93+T93+W93+Z93+AC93+AF93+AI93+AL93+AO93</f>
        <v>145048</v>
      </c>
      <c r="D93" s="24"/>
      <c r="E93" s="3"/>
      <c r="F93" s="65">
        <v>6865</v>
      </c>
      <c r="G93" s="65"/>
      <c r="H93" s="65">
        <f t="shared" si="27"/>
        <v>6865</v>
      </c>
      <c r="I93" s="66">
        <v>66394</v>
      </c>
      <c r="J93" s="66"/>
      <c r="K93" s="66">
        <f t="shared" si="28"/>
        <v>66394</v>
      </c>
      <c r="L93" s="65">
        <v>0</v>
      </c>
      <c r="M93" s="65"/>
      <c r="N93" s="65">
        <f t="shared" si="29"/>
        <v>0</v>
      </c>
      <c r="O93" s="66">
        <v>3000</v>
      </c>
      <c r="P93" s="66"/>
      <c r="Q93" s="66">
        <f t="shared" si="30"/>
        <v>3000</v>
      </c>
      <c r="R93" s="65">
        <v>68789</v>
      </c>
      <c r="S93" s="65"/>
      <c r="T93" s="65">
        <f t="shared" si="31"/>
        <v>68789</v>
      </c>
      <c r="U93" s="66">
        <v>0</v>
      </c>
      <c r="V93" s="66"/>
      <c r="W93" s="66">
        <f t="shared" si="32"/>
        <v>0</v>
      </c>
      <c r="X93" s="65"/>
      <c r="Y93" s="65"/>
      <c r="Z93" s="65">
        <f t="shared" si="33"/>
        <v>0</v>
      </c>
      <c r="AA93" s="66"/>
      <c r="AB93" s="66"/>
      <c r="AC93" s="66">
        <f t="shared" si="34"/>
        <v>0</v>
      </c>
      <c r="AD93" s="65"/>
      <c r="AE93" s="65"/>
      <c r="AF93" s="65">
        <f t="shared" si="35"/>
        <v>0</v>
      </c>
      <c r="AG93" s="66"/>
      <c r="AH93" s="66"/>
      <c r="AI93" s="66">
        <f t="shared" si="36"/>
        <v>0</v>
      </c>
      <c r="AJ93" s="65"/>
      <c r="AK93" s="65"/>
      <c r="AL93" s="65">
        <f t="shared" si="37"/>
        <v>0</v>
      </c>
      <c r="AM93" s="66"/>
      <c r="AN93" s="66"/>
      <c r="AO93" s="66">
        <f t="shared" si="50"/>
        <v>0</v>
      </c>
    </row>
    <row r="94" spans="1:41" s="58" customFormat="1" ht="17.25" x14ac:dyDescent="0.3">
      <c r="A94" s="68" t="s">
        <v>76</v>
      </c>
      <c r="B94" s="16"/>
      <c r="C94" s="14">
        <f>H94+K94+N94+Q94+T94+W94+Z94+AC94+AF94+AI94+AL94+AO94</f>
        <v>62952</v>
      </c>
      <c r="D94" s="24"/>
      <c r="E94" s="3"/>
      <c r="F94" s="65">
        <v>36952</v>
      </c>
      <c r="G94" s="65"/>
      <c r="H94" s="65">
        <f t="shared" si="27"/>
        <v>36952</v>
      </c>
      <c r="I94" s="66">
        <v>0</v>
      </c>
      <c r="J94" s="66"/>
      <c r="K94" s="66">
        <f t="shared" si="28"/>
        <v>0</v>
      </c>
      <c r="L94" s="65">
        <v>0</v>
      </c>
      <c r="M94" s="65"/>
      <c r="N94" s="65">
        <f t="shared" si="29"/>
        <v>0</v>
      </c>
      <c r="O94" s="66">
        <v>26000</v>
      </c>
      <c r="P94" s="66"/>
      <c r="Q94" s="66">
        <f t="shared" si="30"/>
        <v>26000</v>
      </c>
      <c r="R94" s="65">
        <v>0</v>
      </c>
      <c r="S94" s="65"/>
      <c r="T94" s="65">
        <f t="shared" si="31"/>
        <v>0</v>
      </c>
      <c r="U94" s="66">
        <v>0</v>
      </c>
      <c r="V94" s="66"/>
      <c r="W94" s="66">
        <f t="shared" si="32"/>
        <v>0</v>
      </c>
      <c r="X94" s="65"/>
      <c r="Y94" s="65"/>
      <c r="Z94" s="65">
        <f t="shared" si="33"/>
        <v>0</v>
      </c>
      <c r="AA94" s="66"/>
      <c r="AB94" s="66"/>
      <c r="AC94" s="66">
        <f t="shared" si="34"/>
        <v>0</v>
      </c>
      <c r="AD94" s="65"/>
      <c r="AE94" s="65"/>
      <c r="AF94" s="65">
        <f t="shared" si="35"/>
        <v>0</v>
      </c>
      <c r="AG94" s="66"/>
      <c r="AH94" s="66"/>
      <c r="AI94" s="66">
        <f t="shared" si="36"/>
        <v>0</v>
      </c>
      <c r="AJ94" s="65"/>
      <c r="AK94" s="65"/>
      <c r="AL94" s="65">
        <f t="shared" si="37"/>
        <v>0</v>
      </c>
      <c r="AM94" s="66"/>
      <c r="AN94" s="66"/>
      <c r="AO94" s="66">
        <f t="shared" si="50"/>
        <v>0</v>
      </c>
    </row>
    <row r="95" spans="1:41" s="58" customFormat="1" ht="17.25" x14ac:dyDescent="0.3">
      <c r="A95" s="15" t="s">
        <v>36</v>
      </c>
      <c r="B95" s="16"/>
      <c r="C95" s="14">
        <f>H95+K95+N95+Q95+T95+W95+Z95+AC95+AF95+AI95+AL95+AO95</f>
        <v>193185</v>
      </c>
      <c r="D95" s="45"/>
      <c r="E95" s="3"/>
      <c r="F95" s="65">
        <v>232436</v>
      </c>
      <c r="G95" s="120">
        <f>-48938-112114</f>
        <v>-161052</v>
      </c>
      <c r="H95" s="65">
        <f t="shared" si="27"/>
        <v>71384</v>
      </c>
      <c r="I95" s="66">
        <v>176981</v>
      </c>
      <c r="J95" s="120">
        <f>-64987-11994</f>
        <v>-76981</v>
      </c>
      <c r="K95" s="66">
        <f t="shared" si="28"/>
        <v>100000</v>
      </c>
      <c r="L95" s="65">
        <v>20425</v>
      </c>
      <c r="M95" s="120">
        <v>-11675</v>
      </c>
      <c r="N95" s="65">
        <f t="shared" si="29"/>
        <v>8750</v>
      </c>
      <c r="O95" s="66">
        <v>89853</v>
      </c>
      <c r="P95" s="120">
        <f>-85249-4603</f>
        <v>-89852</v>
      </c>
      <c r="Q95" s="66">
        <f t="shared" si="30"/>
        <v>1</v>
      </c>
      <c r="R95" s="65">
        <v>383696</v>
      </c>
      <c r="S95" s="120">
        <v>-383696</v>
      </c>
      <c r="T95" s="65">
        <f t="shared" si="31"/>
        <v>0</v>
      </c>
      <c r="U95" s="66">
        <v>8740</v>
      </c>
      <c r="V95" s="120">
        <v>-8740</v>
      </c>
      <c r="W95" s="66">
        <f t="shared" si="32"/>
        <v>0</v>
      </c>
      <c r="X95" s="65">
        <v>19940</v>
      </c>
      <c r="Y95" s="120">
        <v>-6890</v>
      </c>
      <c r="Z95" s="65">
        <f t="shared" si="33"/>
        <v>13050</v>
      </c>
      <c r="AA95" s="66">
        <v>6105</v>
      </c>
      <c r="AB95" s="120">
        <f>-2220-3885</f>
        <v>-6105</v>
      </c>
      <c r="AC95" s="66">
        <f t="shared" si="34"/>
        <v>0</v>
      </c>
      <c r="AD95" s="65"/>
      <c r="AE95" s="65"/>
      <c r="AF95" s="65">
        <f t="shared" si="35"/>
        <v>0</v>
      </c>
      <c r="AG95" s="66"/>
      <c r="AH95" s="66"/>
      <c r="AI95" s="66">
        <f t="shared" si="36"/>
        <v>0</v>
      </c>
      <c r="AJ95" s="65"/>
      <c r="AK95" s="97"/>
      <c r="AL95" s="65">
        <f t="shared" si="37"/>
        <v>0</v>
      </c>
      <c r="AM95" s="66"/>
      <c r="AN95" s="66"/>
      <c r="AO95" s="66">
        <f t="shared" si="50"/>
        <v>0</v>
      </c>
    </row>
    <row r="96" spans="1:41" s="58" customFormat="1" ht="17.25" x14ac:dyDescent="0.3">
      <c r="A96" s="70" t="s">
        <v>80</v>
      </c>
      <c r="B96" s="16"/>
      <c r="C96" s="28">
        <f>SUM(C92:C95)</f>
        <v>699923</v>
      </c>
      <c r="D96" s="28"/>
      <c r="E96" s="3"/>
      <c r="F96" s="28">
        <f>SUM(F92:F95)</f>
        <v>574991</v>
      </c>
      <c r="G96" s="28">
        <f>SUM(G92:G95)</f>
        <v>-161052</v>
      </c>
      <c r="H96" s="28">
        <f>SUM(H92:H95)</f>
        <v>413939</v>
      </c>
      <c r="I96" s="28">
        <f t="shared" ref="I96:AO96" si="51">SUM(I92:I95)</f>
        <v>243375</v>
      </c>
      <c r="J96" s="28">
        <f t="shared" si="51"/>
        <v>-76981</v>
      </c>
      <c r="K96" s="28">
        <f t="shared" si="51"/>
        <v>166394</v>
      </c>
      <c r="L96" s="28">
        <f t="shared" si="51"/>
        <v>20425</v>
      </c>
      <c r="M96" s="28">
        <f t="shared" si="51"/>
        <v>-11675</v>
      </c>
      <c r="N96" s="28">
        <f t="shared" si="51"/>
        <v>8750</v>
      </c>
      <c r="O96" s="28">
        <f t="shared" si="51"/>
        <v>118853</v>
      </c>
      <c r="P96" s="28">
        <f t="shared" si="51"/>
        <v>-89852</v>
      </c>
      <c r="Q96" s="28">
        <f t="shared" si="51"/>
        <v>29001</v>
      </c>
      <c r="R96" s="28">
        <f t="shared" si="51"/>
        <v>452485</v>
      </c>
      <c r="S96" s="28">
        <f t="shared" si="51"/>
        <v>-383696</v>
      </c>
      <c r="T96" s="28">
        <f t="shared" si="51"/>
        <v>68789</v>
      </c>
      <c r="U96" s="28">
        <f t="shared" si="51"/>
        <v>8740</v>
      </c>
      <c r="V96" s="28">
        <f t="shared" si="51"/>
        <v>-8740</v>
      </c>
      <c r="W96" s="28">
        <f t="shared" si="51"/>
        <v>0</v>
      </c>
      <c r="X96" s="28">
        <f t="shared" si="51"/>
        <v>19940</v>
      </c>
      <c r="Y96" s="28">
        <f t="shared" si="51"/>
        <v>-6890</v>
      </c>
      <c r="Z96" s="28">
        <f t="shared" si="51"/>
        <v>13050</v>
      </c>
      <c r="AA96" s="28">
        <f t="shared" si="51"/>
        <v>6105</v>
      </c>
      <c r="AB96" s="28">
        <f t="shared" si="51"/>
        <v>-6105</v>
      </c>
      <c r="AC96" s="28">
        <f t="shared" si="51"/>
        <v>0</v>
      </c>
      <c r="AD96" s="28">
        <f t="shared" si="51"/>
        <v>0</v>
      </c>
      <c r="AE96" s="28">
        <f t="shared" si="51"/>
        <v>0</v>
      </c>
      <c r="AF96" s="28">
        <f t="shared" si="51"/>
        <v>0</v>
      </c>
      <c r="AG96" s="28">
        <f t="shared" si="51"/>
        <v>0</v>
      </c>
      <c r="AH96" s="28">
        <f t="shared" si="51"/>
        <v>0</v>
      </c>
      <c r="AI96" s="28">
        <f t="shared" si="51"/>
        <v>0</v>
      </c>
      <c r="AJ96" s="28">
        <f t="shared" si="51"/>
        <v>0</v>
      </c>
      <c r="AK96" s="28">
        <f t="shared" si="51"/>
        <v>0</v>
      </c>
      <c r="AL96" s="28">
        <f t="shared" si="51"/>
        <v>0</v>
      </c>
      <c r="AM96" s="28">
        <f t="shared" si="51"/>
        <v>0</v>
      </c>
      <c r="AN96" s="28">
        <f t="shared" si="51"/>
        <v>0</v>
      </c>
      <c r="AO96" s="28">
        <f t="shared" si="51"/>
        <v>0</v>
      </c>
    </row>
    <row r="97" spans="1:42" s="58" customFormat="1" ht="17.25" x14ac:dyDescent="0.3">
      <c r="A97" s="70" t="s">
        <v>81</v>
      </c>
      <c r="B97" s="16"/>
      <c r="C97" s="72">
        <f>C89+C96</f>
        <v>1937907</v>
      </c>
      <c r="D97" s="28"/>
      <c r="E97" s="3"/>
      <c r="F97" s="72">
        <f>F89+F96</f>
        <v>1812975</v>
      </c>
      <c r="G97" s="72">
        <f t="shared" ref="G97:AO97" si="52">G89+G96</f>
        <v>-161052</v>
      </c>
      <c r="H97" s="72">
        <f t="shared" si="52"/>
        <v>1651923</v>
      </c>
      <c r="I97" s="72">
        <f t="shared" si="52"/>
        <v>243375</v>
      </c>
      <c r="J97" s="72">
        <f t="shared" si="52"/>
        <v>-76981</v>
      </c>
      <c r="K97" s="72">
        <f t="shared" si="52"/>
        <v>166394</v>
      </c>
      <c r="L97" s="72">
        <f t="shared" si="52"/>
        <v>20425</v>
      </c>
      <c r="M97" s="72">
        <f t="shared" si="52"/>
        <v>-11675</v>
      </c>
      <c r="N97" s="72">
        <f t="shared" si="52"/>
        <v>8750</v>
      </c>
      <c r="O97" s="72">
        <f t="shared" si="52"/>
        <v>118853</v>
      </c>
      <c r="P97" s="72">
        <f t="shared" si="52"/>
        <v>-89852</v>
      </c>
      <c r="Q97" s="72">
        <f t="shared" si="52"/>
        <v>29001</v>
      </c>
      <c r="R97" s="72">
        <f t="shared" si="52"/>
        <v>452485</v>
      </c>
      <c r="S97" s="72">
        <f t="shared" si="52"/>
        <v>-383696</v>
      </c>
      <c r="T97" s="72">
        <f t="shared" si="52"/>
        <v>68789</v>
      </c>
      <c r="U97" s="72">
        <f t="shared" si="52"/>
        <v>8740</v>
      </c>
      <c r="V97" s="72">
        <f t="shared" si="52"/>
        <v>-8740</v>
      </c>
      <c r="W97" s="72">
        <f t="shared" si="52"/>
        <v>0</v>
      </c>
      <c r="X97" s="72">
        <f t="shared" si="52"/>
        <v>19940</v>
      </c>
      <c r="Y97" s="72">
        <f t="shared" si="52"/>
        <v>-6890</v>
      </c>
      <c r="Z97" s="72">
        <f t="shared" si="52"/>
        <v>13050</v>
      </c>
      <c r="AA97" s="72">
        <f t="shared" si="52"/>
        <v>6105</v>
      </c>
      <c r="AB97" s="72">
        <f t="shared" si="52"/>
        <v>-6105</v>
      </c>
      <c r="AC97" s="72">
        <f t="shared" si="52"/>
        <v>0</v>
      </c>
      <c r="AD97" s="72">
        <f t="shared" si="52"/>
        <v>0</v>
      </c>
      <c r="AE97" s="72">
        <f t="shared" si="52"/>
        <v>0</v>
      </c>
      <c r="AF97" s="72">
        <f t="shared" si="52"/>
        <v>0</v>
      </c>
      <c r="AG97" s="72">
        <f t="shared" si="52"/>
        <v>0</v>
      </c>
      <c r="AH97" s="72">
        <f t="shared" si="52"/>
        <v>0</v>
      </c>
      <c r="AI97" s="72">
        <f t="shared" si="52"/>
        <v>0</v>
      </c>
      <c r="AJ97" s="72">
        <f t="shared" si="52"/>
        <v>0</v>
      </c>
      <c r="AK97" s="72">
        <f t="shared" si="52"/>
        <v>0</v>
      </c>
      <c r="AL97" s="72">
        <f t="shared" si="52"/>
        <v>0</v>
      </c>
      <c r="AM97" s="72">
        <f t="shared" si="52"/>
        <v>0</v>
      </c>
      <c r="AN97" s="72">
        <f t="shared" si="52"/>
        <v>0</v>
      </c>
      <c r="AO97" s="72">
        <f t="shared" si="52"/>
        <v>0</v>
      </c>
      <c r="AP97" s="3"/>
    </row>
    <row r="98" spans="1:42" s="58" customFormat="1" ht="17.25" x14ac:dyDescent="0.3">
      <c r="A98" s="4"/>
      <c r="B98" s="16"/>
      <c r="C98" s="28"/>
      <c r="D98" s="28"/>
      <c r="E98" s="3"/>
      <c r="F98" s="28"/>
      <c r="G98" s="65"/>
      <c r="H98" s="65"/>
      <c r="I98" s="66"/>
      <c r="J98" s="66"/>
      <c r="K98" s="66"/>
      <c r="L98" s="65"/>
      <c r="M98" s="65"/>
      <c r="N98" s="65"/>
      <c r="O98" s="66"/>
      <c r="P98" s="66"/>
      <c r="Q98" s="66"/>
      <c r="R98" s="65"/>
      <c r="S98" s="65"/>
      <c r="T98" s="65"/>
      <c r="U98" s="66"/>
      <c r="V98" s="66"/>
      <c r="W98" s="66"/>
      <c r="X98" s="65"/>
      <c r="Y98" s="65"/>
      <c r="Z98" s="65"/>
      <c r="AA98" s="66"/>
      <c r="AB98" s="66"/>
      <c r="AC98" s="66"/>
      <c r="AD98" s="65"/>
      <c r="AE98" s="65"/>
      <c r="AF98" s="65"/>
      <c r="AG98" s="66"/>
      <c r="AH98" s="66"/>
      <c r="AI98" s="66"/>
      <c r="AJ98" s="65"/>
      <c r="AK98" s="65"/>
      <c r="AL98" s="65"/>
      <c r="AM98" s="66"/>
      <c r="AN98" s="66"/>
      <c r="AO98" s="66"/>
      <c r="AP98" s="3"/>
    </row>
    <row r="99" spans="1:42" s="58" customFormat="1" ht="18" thickBot="1" x14ac:dyDescent="0.35">
      <c r="A99" s="4" t="s">
        <v>37</v>
      </c>
      <c r="B99" s="16"/>
      <c r="C99" s="17">
        <f>C84+C97</f>
        <v>2989046</v>
      </c>
      <c r="D99" s="28"/>
      <c r="E99" s="3"/>
      <c r="F99" s="17">
        <f>F84+F97</f>
        <v>1826876</v>
      </c>
      <c r="G99" s="17">
        <f t="shared" ref="G99:AO99" si="53">G84+G97</f>
        <v>-161052</v>
      </c>
      <c r="H99" s="17">
        <f t="shared" si="53"/>
        <v>1665824</v>
      </c>
      <c r="I99" s="17">
        <f t="shared" si="53"/>
        <v>396259</v>
      </c>
      <c r="J99" s="17">
        <f t="shared" si="53"/>
        <v>-76981</v>
      </c>
      <c r="K99" s="17">
        <f t="shared" si="53"/>
        <v>319278</v>
      </c>
      <c r="L99" s="17">
        <f t="shared" si="53"/>
        <v>30650</v>
      </c>
      <c r="M99" s="17">
        <f t="shared" si="53"/>
        <v>-11675</v>
      </c>
      <c r="N99" s="17">
        <f t="shared" si="53"/>
        <v>18975</v>
      </c>
      <c r="O99" s="17">
        <f t="shared" si="53"/>
        <v>431338</v>
      </c>
      <c r="P99" s="17">
        <f t="shared" si="53"/>
        <v>-89852</v>
      </c>
      <c r="Q99" s="17">
        <f t="shared" si="53"/>
        <v>341486</v>
      </c>
      <c r="R99" s="17">
        <f t="shared" si="53"/>
        <v>945677</v>
      </c>
      <c r="S99" s="17">
        <f t="shared" si="53"/>
        <v>-383696</v>
      </c>
      <c r="T99" s="17">
        <f t="shared" si="53"/>
        <v>561981</v>
      </c>
      <c r="U99" s="17">
        <f t="shared" si="53"/>
        <v>8286</v>
      </c>
      <c r="V99" s="17">
        <f t="shared" si="53"/>
        <v>-8740</v>
      </c>
      <c r="W99" s="17">
        <f t="shared" si="53"/>
        <v>-454</v>
      </c>
      <c r="X99" s="17">
        <f t="shared" si="53"/>
        <v>60266</v>
      </c>
      <c r="Y99" s="17">
        <f t="shared" si="53"/>
        <v>-6890</v>
      </c>
      <c r="Z99" s="17">
        <f t="shared" si="53"/>
        <v>53376</v>
      </c>
      <c r="AA99" s="17">
        <f t="shared" si="53"/>
        <v>34685</v>
      </c>
      <c r="AB99" s="17">
        <f t="shared" si="53"/>
        <v>-6105</v>
      </c>
      <c r="AC99" s="17">
        <f t="shared" si="53"/>
        <v>28580</v>
      </c>
      <c r="AD99" s="17">
        <f t="shared" si="53"/>
        <v>0</v>
      </c>
      <c r="AE99" s="17">
        <f t="shared" si="53"/>
        <v>0</v>
      </c>
      <c r="AF99" s="17">
        <f t="shared" si="53"/>
        <v>0</v>
      </c>
      <c r="AG99" s="17">
        <f t="shared" si="53"/>
        <v>0</v>
      </c>
      <c r="AH99" s="17">
        <f t="shared" si="53"/>
        <v>0</v>
      </c>
      <c r="AI99" s="17">
        <f t="shared" si="53"/>
        <v>0</v>
      </c>
      <c r="AJ99" s="17">
        <f t="shared" si="53"/>
        <v>0</v>
      </c>
      <c r="AK99" s="17">
        <f t="shared" si="53"/>
        <v>0</v>
      </c>
      <c r="AL99" s="17">
        <f t="shared" si="53"/>
        <v>0</v>
      </c>
      <c r="AM99" s="17">
        <f t="shared" si="53"/>
        <v>0</v>
      </c>
      <c r="AN99" s="17">
        <f t="shared" si="53"/>
        <v>0</v>
      </c>
      <c r="AO99" s="17">
        <f t="shared" si="53"/>
        <v>0</v>
      </c>
      <c r="AP99" s="3"/>
    </row>
    <row r="100" spans="1:42" s="58" customFormat="1" ht="15.75" thickTop="1" x14ac:dyDescent="0.2">
      <c r="A100" s="3"/>
      <c r="B100" s="3"/>
      <c r="C100" s="73">
        <f>C74-C99</f>
        <v>0</v>
      </c>
      <c r="D100" s="50"/>
      <c r="E100" s="3"/>
      <c r="F100" s="73">
        <f>F74-F99</f>
        <v>0</v>
      </c>
      <c r="G100" s="73">
        <f t="shared" ref="G100:AO100" si="54">G74-G99</f>
        <v>55018</v>
      </c>
      <c r="H100" s="73">
        <f t="shared" si="54"/>
        <v>55018</v>
      </c>
      <c r="I100" s="73">
        <f t="shared" si="54"/>
        <v>0</v>
      </c>
      <c r="J100" s="73">
        <f t="shared" si="54"/>
        <v>10815</v>
      </c>
      <c r="K100" s="73">
        <f t="shared" si="54"/>
        <v>10815</v>
      </c>
      <c r="L100" s="73">
        <f t="shared" si="54"/>
        <v>0</v>
      </c>
      <c r="M100" s="73">
        <f t="shared" si="54"/>
        <v>-319</v>
      </c>
      <c r="N100" s="73">
        <f t="shared" si="54"/>
        <v>-319</v>
      </c>
      <c r="O100" s="73">
        <f t="shared" si="54"/>
        <v>0</v>
      </c>
      <c r="P100" s="73">
        <f t="shared" si="54"/>
        <v>-293844</v>
      </c>
      <c r="Q100" s="73">
        <f t="shared" si="54"/>
        <v>-293844</v>
      </c>
      <c r="R100" s="73">
        <f t="shared" si="54"/>
        <v>0</v>
      </c>
      <c r="S100" s="73">
        <f t="shared" si="54"/>
        <v>206595</v>
      </c>
      <c r="T100" s="73">
        <f t="shared" si="54"/>
        <v>206595</v>
      </c>
      <c r="U100" s="73">
        <f t="shared" si="54"/>
        <v>0</v>
      </c>
      <c r="V100" s="73">
        <f t="shared" si="54"/>
        <v>8740</v>
      </c>
      <c r="W100" s="73">
        <f t="shared" si="54"/>
        <v>8740</v>
      </c>
      <c r="X100" s="73">
        <f t="shared" si="54"/>
        <v>0</v>
      </c>
      <c r="Y100" s="73">
        <f t="shared" si="54"/>
        <v>6890</v>
      </c>
      <c r="Z100" s="73">
        <f t="shared" si="54"/>
        <v>6890</v>
      </c>
      <c r="AA100" s="73">
        <f t="shared" si="54"/>
        <v>0</v>
      </c>
      <c r="AB100" s="73">
        <f t="shared" si="54"/>
        <v>6105</v>
      </c>
      <c r="AC100" s="73">
        <f t="shared" si="54"/>
        <v>6105</v>
      </c>
      <c r="AD100" s="73">
        <f t="shared" si="54"/>
        <v>0</v>
      </c>
      <c r="AE100" s="73">
        <f t="shared" si="54"/>
        <v>0</v>
      </c>
      <c r="AF100" s="73">
        <f t="shared" si="54"/>
        <v>0</v>
      </c>
      <c r="AG100" s="73">
        <f t="shared" si="54"/>
        <v>0</v>
      </c>
      <c r="AH100" s="73">
        <f t="shared" si="54"/>
        <v>0</v>
      </c>
      <c r="AI100" s="73">
        <f t="shared" si="54"/>
        <v>0</v>
      </c>
      <c r="AJ100" s="73">
        <f t="shared" si="54"/>
        <v>0</v>
      </c>
      <c r="AK100" s="73">
        <f t="shared" si="54"/>
        <v>0</v>
      </c>
      <c r="AL100" s="73">
        <f t="shared" si="54"/>
        <v>0</v>
      </c>
      <c r="AM100" s="73">
        <f t="shared" si="54"/>
        <v>0</v>
      </c>
      <c r="AN100" s="73">
        <f t="shared" si="54"/>
        <v>0</v>
      </c>
      <c r="AO100" s="73">
        <f t="shared" si="54"/>
        <v>0</v>
      </c>
      <c r="AP100" s="51"/>
    </row>
    <row r="101" spans="1:42" s="58" customFormat="1" x14ac:dyDescent="0.2">
      <c r="A101" s="3"/>
      <c r="B101" s="3"/>
      <c r="C101" s="50"/>
      <c r="D101" s="50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 t="s">
        <v>163</v>
      </c>
      <c r="AO101" s="51">
        <f>SUM(F100:AO100)</f>
        <v>0</v>
      </c>
      <c r="AP101" s="3"/>
    </row>
    <row r="102" spans="1:42" s="58" customFormat="1" x14ac:dyDescent="0.2">
      <c r="A102" s="3"/>
      <c r="B102" s="3"/>
      <c r="C102" s="51"/>
      <c r="D102" s="52"/>
      <c r="E102" s="3"/>
      <c r="F102" s="3"/>
      <c r="G102" s="51">
        <f>SUM(G100)</f>
        <v>55018</v>
      </c>
      <c r="H102" s="51"/>
      <c r="I102" s="51"/>
      <c r="J102" s="51">
        <f t="shared" ref="J102:AB102" si="55">SUM(J100)</f>
        <v>10815</v>
      </c>
      <c r="K102" s="51"/>
      <c r="L102" s="51"/>
      <c r="M102" s="51">
        <f t="shared" si="55"/>
        <v>-319</v>
      </c>
      <c r="N102" s="51"/>
      <c r="O102" s="51"/>
      <c r="P102" s="51">
        <f t="shared" si="55"/>
        <v>-293844</v>
      </c>
      <c r="Q102" s="51"/>
      <c r="R102" s="51"/>
      <c r="S102" s="51">
        <f t="shared" si="55"/>
        <v>206595</v>
      </c>
      <c r="T102" s="51"/>
      <c r="U102" s="51"/>
      <c r="V102" s="51">
        <f t="shared" si="55"/>
        <v>8740</v>
      </c>
      <c r="W102" s="51"/>
      <c r="X102" s="51"/>
      <c r="Y102" s="51">
        <f t="shared" si="55"/>
        <v>6890</v>
      </c>
      <c r="Z102" s="51"/>
      <c r="AA102" s="51"/>
      <c r="AB102" s="51">
        <f t="shared" si="55"/>
        <v>6105</v>
      </c>
      <c r="AC102" s="51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2" s="58" customFormat="1" x14ac:dyDescent="0.2">
      <c r="A103" s="15" t="s">
        <v>165</v>
      </c>
      <c r="B103" s="126"/>
      <c r="C103" s="126"/>
      <c r="D103" s="56"/>
      <c r="E103" s="51"/>
      <c r="F103" s="51">
        <f>SUM(G102:AC102)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 s="58" customFormat="1" x14ac:dyDescent="0.2">
      <c r="A104" s="15" t="s">
        <v>166</v>
      </c>
      <c r="B104" s="3"/>
      <c r="C104" s="15"/>
      <c r="D104" s="12"/>
      <c r="E104" s="3"/>
      <c r="F104" s="3"/>
      <c r="G104" s="3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 s="58" customFormat="1" x14ac:dyDescent="0.2">
      <c r="A105" s="15"/>
      <c r="B105" s="3"/>
      <c r="C105" s="15"/>
      <c r="D105" s="12"/>
      <c r="E105" s="3"/>
      <c r="F105" s="51"/>
      <c r="G105" s="3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1:42" s="58" customFormat="1" x14ac:dyDescent="0.2">
      <c r="A106" s="15"/>
      <c r="B106" s="3"/>
      <c r="C106" s="15"/>
      <c r="D106" s="1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2" s="58" customFormat="1" x14ac:dyDescent="0.2">
      <c r="A107" s="15"/>
      <c r="B107" s="3"/>
      <c r="C107" s="15"/>
      <c r="D107" s="1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1:42" s="58" customFormat="1" ht="15.75" x14ac:dyDescent="0.25">
      <c r="A108" s="71" t="s">
        <v>130</v>
      </c>
      <c r="B108" s="3"/>
      <c r="C108" s="15"/>
      <c r="D108" s="1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1:42" s="58" customFormat="1" x14ac:dyDescent="0.2">
      <c r="A109" s="15" t="s">
        <v>131</v>
      </c>
      <c r="B109" s="126"/>
      <c r="C109" s="102"/>
      <c r="D109" s="56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1:42" s="58" customFormat="1" x14ac:dyDescent="0.2">
      <c r="A110" s="15" t="s">
        <v>132</v>
      </c>
      <c r="B110" s="126"/>
      <c r="C110" s="102">
        <f t="shared" ref="C110:C123" si="56">F110+I110+L110+O110+R110+U110+X110+AA110+AD110+AG110+AJ110+AM110</f>
        <v>0</v>
      </c>
      <c r="D110" s="56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1:42" s="58" customFormat="1" x14ac:dyDescent="0.2">
      <c r="A111" s="15" t="s">
        <v>133</v>
      </c>
      <c r="B111" s="126"/>
      <c r="C111" s="102">
        <f t="shared" si="56"/>
        <v>0</v>
      </c>
      <c r="D111" s="5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1:42" s="58" customFormat="1" x14ac:dyDescent="0.2">
      <c r="A112" s="15" t="s">
        <v>134</v>
      </c>
      <c r="B112" s="126"/>
      <c r="C112" s="102">
        <f t="shared" si="56"/>
        <v>0</v>
      </c>
      <c r="D112" s="56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1:4" s="58" customFormat="1" x14ac:dyDescent="0.2">
      <c r="A113" s="15" t="s">
        <v>146</v>
      </c>
      <c r="B113" s="126"/>
      <c r="C113" s="102">
        <f t="shared" si="56"/>
        <v>0</v>
      </c>
      <c r="D113" s="56"/>
    </row>
    <row r="114" spans="1:4" s="58" customFormat="1" x14ac:dyDescent="0.2">
      <c r="A114" s="15" t="s">
        <v>145</v>
      </c>
      <c r="B114" s="126"/>
      <c r="C114" s="102">
        <f t="shared" si="56"/>
        <v>0</v>
      </c>
      <c r="D114" s="56"/>
    </row>
    <row r="115" spans="1:4" s="58" customFormat="1" x14ac:dyDescent="0.2">
      <c r="A115" s="15" t="s">
        <v>135</v>
      </c>
      <c r="B115" s="126"/>
      <c r="C115" s="102">
        <f t="shared" si="56"/>
        <v>0</v>
      </c>
      <c r="D115" s="56"/>
    </row>
    <row r="116" spans="1:4" s="58" customFormat="1" x14ac:dyDescent="0.2">
      <c r="A116" s="15" t="s">
        <v>136</v>
      </c>
      <c r="B116" s="126"/>
      <c r="C116" s="102">
        <f t="shared" si="56"/>
        <v>0</v>
      </c>
      <c r="D116" s="56"/>
    </row>
    <row r="117" spans="1:4" s="58" customFormat="1" x14ac:dyDescent="0.2">
      <c r="A117" s="15" t="s">
        <v>143</v>
      </c>
      <c r="B117" s="126"/>
      <c r="C117" s="102">
        <f t="shared" si="56"/>
        <v>0</v>
      </c>
      <c r="D117" s="56"/>
    </row>
    <row r="118" spans="1:4" s="58" customFormat="1" x14ac:dyDescent="0.2">
      <c r="A118" s="15" t="s">
        <v>140</v>
      </c>
      <c r="B118" s="126"/>
      <c r="C118" s="102">
        <f t="shared" si="56"/>
        <v>0</v>
      </c>
      <c r="D118" s="56"/>
    </row>
    <row r="119" spans="1:4" s="58" customFormat="1" x14ac:dyDescent="0.2">
      <c r="A119" s="15" t="s">
        <v>137</v>
      </c>
      <c r="B119" s="126"/>
      <c r="C119" s="102">
        <f t="shared" si="56"/>
        <v>0</v>
      </c>
      <c r="D119" s="56"/>
    </row>
    <row r="120" spans="1:4" s="58" customFormat="1" x14ac:dyDescent="0.2">
      <c r="A120" s="15" t="s">
        <v>138</v>
      </c>
      <c r="B120" s="126"/>
      <c r="C120" s="102">
        <f t="shared" si="56"/>
        <v>0</v>
      </c>
      <c r="D120" s="56"/>
    </row>
    <row r="121" spans="1:4" s="58" customFormat="1" x14ac:dyDescent="0.2">
      <c r="A121" s="15" t="s">
        <v>144</v>
      </c>
      <c r="B121" s="126"/>
      <c r="C121" s="102">
        <f t="shared" si="56"/>
        <v>0</v>
      </c>
      <c r="D121" s="56"/>
    </row>
    <row r="122" spans="1:4" s="58" customFormat="1" x14ac:dyDescent="0.2">
      <c r="A122" s="15" t="s">
        <v>139</v>
      </c>
      <c r="B122" s="2"/>
      <c r="C122" s="102">
        <f t="shared" si="56"/>
        <v>0</v>
      </c>
      <c r="D122" s="57"/>
    </row>
    <row r="123" spans="1:4" s="58" customFormat="1" x14ac:dyDescent="0.2">
      <c r="A123" s="15" t="s">
        <v>141</v>
      </c>
      <c r="B123" s="2"/>
      <c r="C123" s="102">
        <f t="shared" si="56"/>
        <v>0</v>
      </c>
      <c r="D123" s="57"/>
    </row>
    <row r="124" spans="1:4" s="58" customFormat="1" x14ac:dyDescent="0.2">
      <c r="A124" s="3"/>
      <c r="B124" s="2"/>
      <c r="C124" s="103"/>
      <c r="D124" s="57"/>
    </row>
    <row r="125" spans="1:4" s="58" customFormat="1" x14ac:dyDescent="0.2">
      <c r="A125" s="3" t="s">
        <v>142</v>
      </c>
      <c r="B125" s="2"/>
      <c r="C125" s="103">
        <f>SUM(C109:C124)</f>
        <v>0</v>
      </c>
      <c r="D125" s="57"/>
    </row>
    <row r="126" spans="1:4" s="58" customFormat="1" x14ac:dyDescent="0.2">
      <c r="A126" s="3"/>
      <c r="B126" s="2"/>
      <c r="C126" s="2"/>
      <c r="D126" s="57"/>
    </row>
    <row r="127" spans="1:4" s="58" customFormat="1" x14ac:dyDescent="0.2">
      <c r="A127" s="3"/>
      <c r="B127" s="2"/>
      <c r="C127" s="2"/>
      <c r="D127" s="57"/>
    </row>
    <row r="128" spans="1:4" s="58" customFormat="1" x14ac:dyDescent="0.2">
      <c r="A128" s="3"/>
      <c r="B128" s="2"/>
      <c r="C128" s="2"/>
      <c r="D128" s="57"/>
    </row>
    <row r="129" spans="1:4" s="58" customFormat="1" x14ac:dyDescent="0.2">
      <c r="A129" s="3" t="s">
        <v>155</v>
      </c>
      <c r="B129" s="2"/>
      <c r="C129" s="102">
        <f>F129+I129+L129+O129+R129+U129+X129+AA129+AD129+AG129+AJ129+AM129</f>
        <v>0</v>
      </c>
      <c r="D129" s="57"/>
    </row>
    <row r="130" spans="1:4" s="58" customFormat="1" x14ac:dyDescent="0.2">
      <c r="A130" s="3"/>
      <c r="B130" s="2"/>
      <c r="C130" s="2"/>
      <c r="D130" s="57"/>
    </row>
    <row r="131" spans="1:4" s="58" customFormat="1" x14ac:dyDescent="0.2">
      <c r="A131" s="3"/>
      <c r="B131" s="2"/>
      <c r="C131" s="2"/>
      <c r="D131" s="57"/>
    </row>
    <row r="132" spans="1:4" s="58" customFormat="1" x14ac:dyDescent="0.2">
      <c r="A132" s="3"/>
      <c r="B132" s="2"/>
      <c r="C132" s="2"/>
      <c r="D132" s="57"/>
    </row>
    <row r="133" spans="1:4" s="58" customFormat="1" x14ac:dyDescent="0.2">
      <c r="A133" s="3"/>
      <c r="B133" s="2"/>
      <c r="C133" s="2"/>
      <c r="D133" s="57"/>
    </row>
    <row r="134" spans="1:4" s="58" customFormat="1" x14ac:dyDescent="0.2">
      <c r="A134" s="3"/>
      <c r="B134" s="2"/>
      <c r="C134" s="2"/>
      <c r="D134" s="57"/>
    </row>
    <row r="135" spans="1:4" s="58" customFormat="1" x14ac:dyDescent="0.2">
      <c r="A135" s="3"/>
      <c r="B135" s="2"/>
      <c r="C135" s="2"/>
      <c r="D135" s="57"/>
    </row>
    <row r="136" spans="1:4" s="58" customFormat="1" x14ac:dyDescent="0.2">
      <c r="A136" s="3"/>
      <c r="B136" s="2"/>
      <c r="C136" s="2"/>
      <c r="D136" s="57"/>
    </row>
    <row r="137" spans="1:4" s="58" customFormat="1" x14ac:dyDescent="0.2">
      <c r="A137" s="3"/>
      <c r="B137" s="2"/>
      <c r="C137" s="2"/>
      <c r="D137" s="2"/>
    </row>
    <row r="138" spans="1:4" s="58" customFormat="1" x14ac:dyDescent="0.2">
      <c r="A138" s="3"/>
      <c r="B138" s="2"/>
      <c r="C138" s="2"/>
      <c r="D138" s="2"/>
    </row>
    <row r="139" spans="1:4" s="58" customFormat="1" x14ac:dyDescent="0.2">
      <c r="A139" s="3"/>
      <c r="B139" s="2"/>
      <c r="C139" s="2"/>
      <c r="D139" s="2"/>
    </row>
    <row r="140" spans="1:4" s="58" customFormat="1" x14ac:dyDescent="0.2">
      <c r="A140" s="3"/>
      <c r="B140" s="2"/>
      <c r="C140" s="2"/>
      <c r="D140" s="2"/>
    </row>
    <row r="141" spans="1:4" s="58" customFormat="1" x14ac:dyDescent="0.2">
      <c r="A141" s="3"/>
      <c r="B141" s="2"/>
      <c r="C141" s="2"/>
      <c r="D141" s="2"/>
    </row>
    <row r="142" spans="1:4" s="58" customFormat="1" x14ac:dyDescent="0.2">
      <c r="A142" s="3"/>
      <c r="B142" s="2"/>
      <c r="C142" s="2"/>
      <c r="D142" s="2"/>
    </row>
    <row r="143" spans="1:4" s="58" customFormat="1" x14ac:dyDescent="0.2">
      <c r="A143" s="3"/>
      <c r="B143" s="2"/>
      <c r="C143" s="2"/>
      <c r="D143" s="2"/>
    </row>
    <row r="144" spans="1:4" s="58" customFormat="1" x14ac:dyDescent="0.2">
      <c r="A144" s="3"/>
      <c r="B144" s="2"/>
      <c r="C144" s="2"/>
      <c r="D144" s="2"/>
    </row>
    <row r="145" spans="2:4" s="58" customFormat="1" x14ac:dyDescent="0.2">
      <c r="B145" s="2"/>
      <c r="C145" s="2"/>
      <c r="D145" s="2"/>
    </row>
    <row r="146" spans="2:4" s="58" customFormat="1" x14ac:dyDescent="0.2">
      <c r="B146" s="2"/>
      <c r="C146" s="2"/>
      <c r="D146" s="2"/>
    </row>
    <row r="147" spans="2:4" s="58" customFormat="1" x14ac:dyDescent="0.2">
      <c r="B147" s="2"/>
      <c r="C147" s="2"/>
      <c r="D147" s="2"/>
    </row>
    <row r="148" spans="2:4" s="58" customFormat="1" x14ac:dyDescent="0.2">
      <c r="B148" s="2"/>
      <c r="C148" s="2"/>
      <c r="D148" s="2"/>
    </row>
    <row r="149" spans="2:4" s="58" customFormat="1" x14ac:dyDescent="0.2">
      <c r="B149" s="2"/>
      <c r="C149" s="2"/>
      <c r="D149" s="2"/>
    </row>
    <row r="150" spans="2:4" s="58" customFormat="1" x14ac:dyDescent="0.2">
      <c r="B150" s="2"/>
      <c r="C150" s="2"/>
      <c r="D150" s="2"/>
    </row>
    <row r="151" spans="2:4" s="58" customFormat="1" x14ac:dyDescent="0.2">
      <c r="B151" s="2"/>
      <c r="C151" s="2"/>
      <c r="D151" s="2"/>
    </row>
    <row r="152" spans="2:4" s="58" customFormat="1" x14ac:dyDescent="0.2">
      <c r="B152" s="2"/>
      <c r="C152" s="2"/>
      <c r="D152" s="2"/>
    </row>
    <row r="153" spans="2:4" s="58" customFormat="1" x14ac:dyDescent="0.2">
      <c r="B153" s="2"/>
      <c r="C153" s="2"/>
      <c r="D153" s="2"/>
    </row>
    <row r="154" spans="2:4" s="58" customFormat="1" x14ac:dyDescent="0.2">
      <c r="B154" s="2"/>
      <c r="C154" s="2"/>
      <c r="D154" s="2"/>
    </row>
    <row r="155" spans="2:4" s="58" customFormat="1" x14ac:dyDescent="0.2">
      <c r="B155" s="2"/>
      <c r="C155" s="2"/>
      <c r="D155" s="2"/>
    </row>
    <row r="156" spans="2:4" s="58" customFormat="1" x14ac:dyDescent="0.2">
      <c r="B156" s="2"/>
      <c r="C156" s="2"/>
      <c r="D156" s="2"/>
    </row>
    <row r="157" spans="2:4" s="58" customFormat="1" x14ac:dyDescent="0.2">
      <c r="B157" s="2"/>
      <c r="C157" s="2"/>
      <c r="D157" s="2"/>
    </row>
    <row r="158" spans="2:4" s="58" customFormat="1" x14ac:dyDescent="0.2">
      <c r="B158" s="2"/>
      <c r="C158" s="2"/>
      <c r="D158" s="2"/>
    </row>
    <row r="159" spans="2:4" s="58" customFormat="1" x14ac:dyDescent="0.2">
      <c r="B159" s="2"/>
      <c r="C159" s="2"/>
      <c r="D159" s="2"/>
    </row>
    <row r="160" spans="2:4" s="58" customFormat="1" x14ac:dyDescent="0.2">
      <c r="B160" s="2"/>
      <c r="C160" s="2"/>
      <c r="D160" s="2"/>
    </row>
    <row r="161" spans="2:4" s="58" customFormat="1" x14ac:dyDescent="0.2">
      <c r="B161" s="2"/>
      <c r="C161" s="2"/>
      <c r="D161" s="2"/>
    </row>
    <row r="162" spans="2:4" s="58" customFormat="1" x14ac:dyDescent="0.2">
      <c r="B162" s="2"/>
      <c r="C162" s="2"/>
      <c r="D162" s="2"/>
    </row>
    <row r="163" spans="2:4" s="58" customFormat="1" x14ac:dyDescent="0.2">
      <c r="B163" s="2"/>
      <c r="C163" s="2"/>
      <c r="D163" s="2"/>
    </row>
    <row r="164" spans="2:4" s="58" customFormat="1" x14ac:dyDescent="0.2">
      <c r="B164" s="2"/>
      <c r="C164" s="2"/>
      <c r="D164" s="2"/>
    </row>
  </sheetData>
  <mergeCells count="12">
    <mergeCell ref="AM3:AO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A164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7" sqref="F7"/>
    </sheetView>
  </sheetViews>
  <sheetFormatPr baseColWidth="10" defaultColWidth="12.42578125" defaultRowHeight="15" x14ac:dyDescent="0.2"/>
  <cols>
    <col min="1" max="1" width="44.7109375" style="3" customWidth="1"/>
    <col min="2" max="2" width="9" style="3" hidden="1" customWidth="1"/>
    <col min="3" max="3" width="16.28515625" style="3" customWidth="1"/>
    <col min="4" max="4" width="16.28515625" style="3" hidden="1" customWidth="1"/>
    <col min="5" max="5" width="12.42578125" style="3" customWidth="1"/>
    <col min="6" max="6" width="14.85546875" style="3" customWidth="1"/>
    <col min="7" max="7" width="15.85546875" style="3" customWidth="1"/>
    <col min="8" max="8" width="14.85546875" style="3" customWidth="1"/>
    <col min="9" max="9" width="15.5703125" style="3" bestFit="1" customWidth="1"/>
    <col min="10" max="10" width="15.85546875" style="3" customWidth="1"/>
    <col min="11" max="11" width="14" style="3" bestFit="1" customWidth="1"/>
    <col min="12" max="12" width="14.85546875" style="3" customWidth="1"/>
    <col min="13" max="13" width="10.85546875" style="3" bestFit="1" customWidth="1"/>
    <col min="14" max="15" width="14.85546875" style="3" customWidth="1"/>
    <col min="16" max="16" width="13" style="3" customWidth="1"/>
    <col min="17" max="17" width="14.85546875" style="3" customWidth="1"/>
    <col min="18" max="20" width="13.42578125" style="3" customWidth="1"/>
    <col min="21" max="21" width="13.42578125" style="3" bestFit="1" customWidth="1"/>
    <col min="22" max="22" width="10.85546875" style="3" bestFit="1" customWidth="1"/>
    <col min="23" max="23" width="13.42578125" style="3" bestFit="1" customWidth="1"/>
    <col min="24" max="24" width="12.5703125" style="3" bestFit="1" customWidth="1"/>
    <col min="25" max="25" width="10.85546875" style="3" bestFit="1" customWidth="1"/>
    <col min="26" max="26" width="12.5703125" style="3" bestFit="1" customWidth="1"/>
    <col min="27" max="27" width="11.5703125" style="3" bestFit="1" customWidth="1"/>
    <col min="28" max="28" width="10.85546875" style="3" bestFit="1" customWidth="1"/>
    <col min="29" max="29" width="16" style="3" customWidth="1"/>
    <col min="30" max="41" width="9" style="3" hidden="1" customWidth="1"/>
    <col min="42" max="43" width="33" style="3" customWidth="1"/>
    <col min="44" max="235" width="12.42578125" style="3" customWidth="1"/>
    <col min="236" max="16384" width="12.42578125" style="58"/>
  </cols>
  <sheetData>
    <row r="1" spans="1:41" ht="30" x14ac:dyDescent="0.4">
      <c r="A1" s="1" t="s">
        <v>39</v>
      </c>
      <c r="B1" s="2"/>
      <c r="C1" s="2"/>
      <c r="D1" s="2"/>
    </row>
    <row r="2" spans="1:41" ht="6.95" customHeight="1" x14ac:dyDescent="0.2">
      <c r="B2" s="2"/>
      <c r="C2" s="2"/>
      <c r="D2" s="2"/>
    </row>
    <row r="3" spans="1:41" x14ac:dyDescent="0.2">
      <c r="A3" s="4" t="s">
        <v>0</v>
      </c>
      <c r="B3" s="96"/>
      <c r="C3" s="96"/>
      <c r="D3" s="96"/>
      <c r="F3" s="162" t="s">
        <v>160</v>
      </c>
      <c r="G3" s="162"/>
      <c r="H3" s="162"/>
      <c r="I3" s="163" t="s">
        <v>45</v>
      </c>
      <c r="J3" s="163"/>
      <c r="K3" s="163"/>
      <c r="L3" s="162" t="s">
        <v>46</v>
      </c>
      <c r="M3" s="162"/>
      <c r="N3" s="162"/>
      <c r="O3" s="163" t="s">
        <v>43</v>
      </c>
      <c r="P3" s="163"/>
      <c r="Q3" s="163"/>
      <c r="R3" s="162" t="s">
        <v>44</v>
      </c>
      <c r="S3" s="162"/>
      <c r="T3" s="162"/>
      <c r="U3" s="163" t="s">
        <v>51</v>
      </c>
      <c r="V3" s="163"/>
      <c r="W3" s="163"/>
      <c r="X3" s="162" t="s">
        <v>161</v>
      </c>
      <c r="Y3" s="162"/>
      <c r="Z3" s="162"/>
      <c r="AA3" s="163" t="s">
        <v>48</v>
      </c>
      <c r="AB3" s="163"/>
      <c r="AC3" s="163"/>
      <c r="AD3" s="162"/>
      <c r="AE3" s="162"/>
      <c r="AF3" s="162"/>
      <c r="AG3" s="163"/>
      <c r="AH3" s="163"/>
      <c r="AI3" s="163"/>
      <c r="AJ3" s="162"/>
      <c r="AK3" s="162"/>
      <c r="AL3" s="162"/>
      <c r="AM3" s="163"/>
      <c r="AN3" s="163"/>
      <c r="AO3" s="163"/>
    </row>
    <row r="4" spans="1:41" x14ac:dyDescent="0.2">
      <c r="A4" s="6" t="s">
        <v>1</v>
      </c>
      <c r="B4" s="96"/>
      <c r="C4" s="7">
        <v>2012</v>
      </c>
      <c r="D4" s="8" t="s">
        <v>2</v>
      </c>
      <c r="F4" s="62">
        <f>C4</f>
        <v>2012</v>
      </c>
      <c r="G4" s="63" t="s">
        <v>38</v>
      </c>
      <c r="H4" s="63" t="s">
        <v>40</v>
      </c>
      <c r="I4" s="61">
        <v>2012</v>
      </c>
      <c r="J4" s="60" t="s">
        <v>38</v>
      </c>
      <c r="K4" s="60" t="s">
        <v>40</v>
      </c>
      <c r="L4" s="62">
        <v>2012</v>
      </c>
      <c r="M4" s="63" t="s">
        <v>38</v>
      </c>
      <c r="N4" s="63" t="s">
        <v>40</v>
      </c>
      <c r="O4" s="61">
        <v>2012</v>
      </c>
      <c r="P4" s="60" t="s">
        <v>38</v>
      </c>
      <c r="Q4" s="60" t="s">
        <v>40</v>
      </c>
      <c r="R4" s="62">
        <v>2012</v>
      </c>
      <c r="S4" s="63" t="s">
        <v>38</v>
      </c>
      <c r="T4" s="63" t="s">
        <v>40</v>
      </c>
      <c r="U4" s="61">
        <v>2012</v>
      </c>
      <c r="V4" s="60" t="s">
        <v>38</v>
      </c>
      <c r="W4" s="60" t="s">
        <v>40</v>
      </c>
      <c r="X4" s="62">
        <v>2012</v>
      </c>
      <c r="Y4" s="63" t="s">
        <v>38</v>
      </c>
      <c r="Z4" s="63" t="s">
        <v>40</v>
      </c>
      <c r="AA4" s="61">
        <v>2012</v>
      </c>
      <c r="AB4" s="60" t="s">
        <v>38</v>
      </c>
      <c r="AC4" s="60" t="s">
        <v>40</v>
      </c>
      <c r="AD4" s="62"/>
      <c r="AE4" s="63" t="s">
        <v>38</v>
      </c>
      <c r="AF4" s="63" t="s">
        <v>40</v>
      </c>
      <c r="AG4" s="61"/>
      <c r="AH4" s="60" t="s">
        <v>38</v>
      </c>
      <c r="AI4" s="60" t="s">
        <v>40</v>
      </c>
      <c r="AJ4" s="62"/>
      <c r="AK4" s="63" t="s">
        <v>38</v>
      </c>
      <c r="AL4" s="63" t="s">
        <v>40</v>
      </c>
      <c r="AM4" s="61"/>
      <c r="AN4" s="60" t="s">
        <v>38</v>
      </c>
      <c r="AO4" s="60" t="s">
        <v>40</v>
      </c>
    </row>
    <row r="5" spans="1:41" ht="17.100000000000001" customHeight="1" x14ac:dyDescent="0.25">
      <c r="A5" s="9" t="s">
        <v>3</v>
      </c>
      <c r="B5" s="10" t="s">
        <v>4</v>
      </c>
      <c r="C5" s="11"/>
      <c r="D5" s="11" t="s">
        <v>2</v>
      </c>
      <c r="F5" s="65"/>
      <c r="G5" s="65"/>
      <c r="H5" s="65"/>
      <c r="I5" s="66"/>
      <c r="J5" s="66"/>
      <c r="K5" s="66"/>
      <c r="L5" s="65"/>
      <c r="M5" s="65"/>
      <c r="N5" s="65"/>
      <c r="O5" s="66"/>
      <c r="P5" s="66"/>
      <c r="Q5" s="66"/>
      <c r="R5" s="65"/>
      <c r="S5" s="65"/>
      <c r="T5" s="65"/>
      <c r="U5" s="66"/>
      <c r="V5" s="66"/>
      <c r="W5" s="66"/>
      <c r="X5" s="65"/>
      <c r="Y5" s="65"/>
      <c r="Z5" s="65"/>
      <c r="AA5" s="66"/>
      <c r="AB5" s="66"/>
      <c r="AC5" s="66"/>
      <c r="AD5" s="65"/>
      <c r="AE5" s="65"/>
      <c r="AF5" s="65"/>
      <c r="AG5" s="66"/>
      <c r="AH5" s="66"/>
      <c r="AI5" s="66"/>
      <c r="AJ5" s="65"/>
      <c r="AK5" s="65"/>
      <c r="AL5" s="65"/>
      <c r="AM5" s="66"/>
      <c r="AN5" s="66"/>
      <c r="AO5" s="66"/>
    </row>
    <row r="6" spans="1:41" ht="9" customHeight="1" x14ac:dyDescent="0.2">
      <c r="A6" s="12"/>
      <c r="B6" s="13"/>
      <c r="C6" s="12"/>
      <c r="D6" s="12"/>
      <c r="F6" s="65"/>
      <c r="G6" s="65"/>
      <c r="H6" s="65"/>
      <c r="I6" s="66"/>
      <c r="J6" s="66"/>
      <c r="K6" s="66"/>
      <c r="L6" s="65"/>
      <c r="M6" s="65"/>
      <c r="N6" s="65"/>
      <c r="O6" s="66"/>
      <c r="P6" s="66"/>
      <c r="Q6" s="66"/>
      <c r="R6" s="65"/>
      <c r="S6" s="65"/>
      <c r="T6" s="65"/>
      <c r="U6" s="66"/>
      <c r="V6" s="66"/>
      <c r="W6" s="66"/>
      <c r="X6" s="65"/>
      <c r="Y6" s="65"/>
      <c r="Z6" s="65"/>
      <c r="AA6" s="66"/>
      <c r="AB6" s="66"/>
      <c r="AC6" s="66"/>
      <c r="AD6" s="65"/>
      <c r="AE6" s="65"/>
      <c r="AF6" s="65"/>
      <c r="AG6" s="66"/>
      <c r="AH6" s="66"/>
      <c r="AI6" s="66"/>
      <c r="AJ6" s="65"/>
      <c r="AK6" s="65"/>
      <c r="AL6" s="65"/>
      <c r="AM6" s="66"/>
      <c r="AN6" s="66"/>
      <c r="AO6" s="66"/>
    </row>
    <row r="7" spans="1:41" ht="17.25" customHeight="1" x14ac:dyDescent="0.2">
      <c r="A7" s="64" t="s">
        <v>82</v>
      </c>
      <c r="B7" s="13"/>
      <c r="C7" s="14">
        <f>H7+K7+N7+Q7+T7+W7+Z7+AC7+AF7+AI7+AL7</f>
        <v>353972</v>
      </c>
      <c r="D7" s="14">
        <v>60000</v>
      </c>
      <c r="F7" s="65">
        <v>8050</v>
      </c>
      <c r="G7" s="65"/>
      <c r="H7" s="65">
        <f t="shared" ref="H7:H41" si="0">F7+G7</f>
        <v>8050</v>
      </c>
      <c r="I7" s="66">
        <v>80823</v>
      </c>
      <c r="J7" s="66"/>
      <c r="K7" s="66">
        <f t="shared" ref="K7:K41" si="1">I7+J7</f>
        <v>80823</v>
      </c>
      <c r="L7" s="65">
        <v>73059</v>
      </c>
      <c r="M7" s="65"/>
      <c r="N7" s="65">
        <f t="shared" ref="N7:N41" si="2">L7+M7</f>
        <v>73059</v>
      </c>
      <c r="O7" s="66">
        <v>69470</v>
      </c>
      <c r="P7" s="66"/>
      <c r="Q7" s="66">
        <f t="shared" ref="Q7:Q41" si="3">O7+P7</f>
        <v>69470</v>
      </c>
      <c r="R7" s="65">
        <v>122570</v>
      </c>
      <c r="S7" s="65"/>
      <c r="T7" s="65">
        <f t="shared" ref="T7:T41" si="4">R7+S7</f>
        <v>122570</v>
      </c>
      <c r="U7" s="66"/>
      <c r="V7" s="66"/>
      <c r="W7" s="66">
        <f t="shared" ref="W7:W41" si="5">U7+V7</f>
        <v>0</v>
      </c>
      <c r="X7" s="65"/>
      <c r="Y7" s="65"/>
      <c r="Z7" s="65">
        <f t="shared" ref="Z7:Z41" si="6">X7+Y7</f>
        <v>0</v>
      </c>
      <c r="AA7" s="66"/>
      <c r="AB7" s="66"/>
      <c r="AC7" s="66">
        <f t="shared" ref="AC7:AC41" si="7">AA7+AB7</f>
        <v>0</v>
      </c>
      <c r="AD7" s="65"/>
      <c r="AE7" s="65"/>
      <c r="AF7" s="65">
        <f t="shared" ref="AF7:AF41" si="8">AD7+AE7</f>
        <v>0</v>
      </c>
      <c r="AG7" s="66"/>
      <c r="AH7" s="66"/>
      <c r="AI7" s="66">
        <f t="shared" ref="AI7:AI41" si="9">AG7+AH7</f>
        <v>0</v>
      </c>
      <c r="AJ7" s="65"/>
      <c r="AK7" s="65"/>
      <c r="AL7" s="65">
        <f t="shared" ref="AL7:AL41" si="10">AJ7+AK7</f>
        <v>0</v>
      </c>
      <c r="AM7" s="66"/>
      <c r="AN7" s="66"/>
      <c r="AO7" s="66">
        <f t="shared" ref="AO7" si="11">AM7+AN7</f>
        <v>0</v>
      </c>
    </row>
    <row r="8" spans="1:41" ht="17.25" customHeight="1" x14ac:dyDescent="0.2">
      <c r="A8" s="64" t="s">
        <v>96</v>
      </c>
      <c r="B8" s="13"/>
      <c r="C8" s="14">
        <f t="shared" ref="C8:C10" si="12">H8+K8+N8+Q8+T8+W8+Z8+AC8+AF8+AI8+AL8</f>
        <v>98236</v>
      </c>
      <c r="D8" s="14"/>
      <c r="F8" s="65"/>
      <c r="G8" s="65"/>
      <c r="H8" s="65">
        <f t="shared" si="0"/>
        <v>0</v>
      </c>
      <c r="I8" s="66">
        <v>45986</v>
      </c>
      <c r="J8" s="66"/>
      <c r="K8" s="66">
        <f t="shared" si="1"/>
        <v>45986</v>
      </c>
      <c r="L8" s="65">
        <v>0</v>
      </c>
      <c r="M8" s="65"/>
      <c r="N8" s="65">
        <f>L8+M8</f>
        <v>0</v>
      </c>
      <c r="O8" s="66">
        <v>3500</v>
      </c>
      <c r="P8" s="66"/>
      <c r="Q8" s="66">
        <f t="shared" si="3"/>
        <v>3500</v>
      </c>
      <c r="R8" s="65">
        <v>48750</v>
      </c>
      <c r="S8" s="65"/>
      <c r="T8" s="65">
        <f t="shared" si="4"/>
        <v>48750</v>
      </c>
      <c r="U8" s="66"/>
      <c r="V8" s="66"/>
      <c r="W8" s="66">
        <f t="shared" si="5"/>
        <v>0</v>
      </c>
      <c r="X8" s="65"/>
      <c r="Y8" s="65"/>
      <c r="Z8" s="65">
        <f t="shared" si="6"/>
        <v>0</v>
      </c>
      <c r="AA8" s="66"/>
      <c r="AB8" s="66"/>
      <c r="AC8" s="66">
        <f t="shared" si="7"/>
        <v>0</v>
      </c>
      <c r="AD8" s="65"/>
      <c r="AE8" s="65"/>
      <c r="AF8" s="65"/>
      <c r="AG8" s="66"/>
      <c r="AH8" s="66"/>
      <c r="AI8" s="66"/>
      <c r="AJ8" s="65"/>
      <c r="AK8" s="65"/>
      <c r="AL8" s="65"/>
      <c r="AM8" s="66"/>
      <c r="AN8" s="66"/>
      <c r="AO8" s="66"/>
    </row>
    <row r="9" spans="1:41" ht="17.25" customHeight="1" x14ac:dyDescent="0.2">
      <c r="A9" s="64" t="s">
        <v>84</v>
      </c>
      <c r="B9" s="13"/>
      <c r="C9" s="14">
        <f t="shared" si="12"/>
        <v>114702</v>
      </c>
      <c r="D9" s="14"/>
      <c r="F9" s="65"/>
      <c r="G9" s="65"/>
      <c r="H9" s="65">
        <f t="shared" si="0"/>
        <v>0</v>
      </c>
      <c r="I9" s="66">
        <v>114702</v>
      </c>
      <c r="J9" s="66"/>
      <c r="K9" s="66">
        <f t="shared" si="1"/>
        <v>114702</v>
      </c>
      <c r="L9" s="65">
        <v>0</v>
      </c>
      <c r="M9" s="65"/>
      <c r="N9" s="65">
        <f>L9+M9</f>
        <v>0</v>
      </c>
      <c r="O9" s="66">
        <v>0</v>
      </c>
      <c r="P9" s="66"/>
      <c r="Q9" s="66">
        <f t="shared" si="3"/>
        <v>0</v>
      </c>
      <c r="R9" s="65">
        <v>0</v>
      </c>
      <c r="S9" s="65"/>
      <c r="T9" s="65">
        <f t="shared" si="4"/>
        <v>0</v>
      </c>
      <c r="U9" s="66"/>
      <c r="V9" s="66"/>
      <c r="W9" s="66">
        <f t="shared" si="5"/>
        <v>0</v>
      </c>
      <c r="X9" s="65"/>
      <c r="Y9" s="65"/>
      <c r="Z9" s="65">
        <f t="shared" si="6"/>
        <v>0</v>
      </c>
      <c r="AA9" s="66"/>
      <c r="AB9" s="66"/>
      <c r="AC9" s="66">
        <f t="shared" si="7"/>
        <v>0</v>
      </c>
      <c r="AD9" s="65"/>
      <c r="AE9" s="65"/>
      <c r="AF9" s="65"/>
      <c r="AG9" s="66"/>
      <c r="AH9" s="66"/>
      <c r="AI9" s="66"/>
      <c r="AJ9" s="65"/>
      <c r="AK9" s="65"/>
      <c r="AL9" s="65"/>
      <c r="AM9" s="66"/>
      <c r="AN9" s="66"/>
      <c r="AO9" s="66"/>
    </row>
    <row r="10" spans="1:41" ht="17.25" customHeight="1" x14ac:dyDescent="0.2">
      <c r="A10" s="64" t="s">
        <v>86</v>
      </c>
      <c r="B10" s="13"/>
      <c r="C10" s="14">
        <f t="shared" si="12"/>
        <v>1101350</v>
      </c>
      <c r="D10" s="14"/>
      <c r="F10" s="65"/>
      <c r="G10" s="65"/>
      <c r="H10" s="65">
        <f t="shared" si="0"/>
        <v>0</v>
      </c>
      <c r="I10" s="66">
        <v>39050</v>
      </c>
      <c r="J10" s="66"/>
      <c r="K10" s="66">
        <f t="shared" si="1"/>
        <v>39050</v>
      </c>
      <c r="L10" s="65">
        <v>173250</v>
      </c>
      <c r="M10" s="65"/>
      <c r="N10" s="65">
        <f>L10+M10</f>
        <v>173250</v>
      </c>
      <c r="O10" s="66">
        <v>56400</v>
      </c>
      <c r="P10" s="66"/>
      <c r="Q10" s="66">
        <f t="shared" si="3"/>
        <v>56400</v>
      </c>
      <c r="R10" s="65">
        <v>832650</v>
      </c>
      <c r="S10" s="65"/>
      <c r="T10" s="65">
        <f t="shared" si="4"/>
        <v>832650</v>
      </c>
      <c r="U10" s="66"/>
      <c r="V10" s="66"/>
      <c r="W10" s="66">
        <f t="shared" si="5"/>
        <v>0</v>
      </c>
      <c r="X10" s="65"/>
      <c r="Y10" s="65"/>
      <c r="Z10" s="65">
        <f t="shared" si="6"/>
        <v>0</v>
      </c>
      <c r="AA10" s="66"/>
      <c r="AB10" s="66"/>
      <c r="AC10" s="66">
        <f t="shared" si="7"/>
        <v>0</v>
      </c>
      <c r="AD10" s="65"/>
      <c r="AE10" s="65"/>
      <c r="AF10" s="65"/>
      <c r="AG10" s="66"/>
      <c r="AH10" s="66"/>
      <c r="AI10" s="66"/>
      <c r="AJ10" s="65"/>
      <c r="AK10" s="65"/>
      <c r="AL10" s="65"/>
      <c r="AM10" s="66"/>
      <c r="AN10" s="66"/>
      <c r="AO10" s="66"/>
    </row>
    <row r="11" spans="1:41" ht="17.25" customHeight="1" x14ac:dyDescent="0.2">
      <c r="A11" s="64" t="s">
        <v>88</v>
      </c>
      <c r="B11" s="13"/>
      <c r="C11" s="14">
        <f t="shared" ref="C11:C21" si="13">H11+K11+N11+Q11+T11+W11+Z11+AC11+AF11+AI11+AL11+AO11</f>
        <v>100281</v>
      </c>
      <c r="D11" s="14"/>
      <c r="F11" s="65">
        <v>100281</v>
      </c>
      <c r="G11" s="65"/>
      <c r="H11" s="65">
        <f t="shared" si="0"/>
        <v>100281</v>
      </c>
      <c r="I11" s="66">
        <v>0</v>
      </c>
      <c r="J11" s="66"/>
      <c r="K11" s="66">
        <f t="shared" si="1"/>
        <v>0</v>
      </c>
      <c r="L11" s="65">
        <v>0</v>
      </c>
      <c r="M11" s="65"/>
      <c r="N11" s="65">
        <f t="shared" si="2"/>
        <v>0</v>
      </c>
      <c r="O11" s="66">
        <v>0</v>
      </c>
      <c r="P11" s="66"/>
      <c r="Q11" s="66">
        <f t="shared" si="3"/>
        <v>0</v>
      </c>
      <c r="R11" s="65">
        <v>0</v>
      </c>
      <c r="S11" s="65"/>
      <c r="T11" s="65">
        <f t="shared" si="4"/>
        <v>0</v>
      </c>
      <c r="U11" s="66"/>
      <c r="V11" s="66"/>
      <c r="W11" s="66">
        <f t="shared" si="5"/>
        <v>0</v>
      </c>
      <c r="X11" s="65"/>
      <c r="Y11" s="65"/>
      <c r="Z11" s="65">
        <f t="shared" si="6"/>
        <v>0</v>
      </c>
      <c r="AA11" s="66"/>
      <c r="AB11" s="66"/>
      <c r="AC11" s="66">
        <f t="shared" si="7"/>
        <v>0</v>
      </c>
      <c r="AD11" s="65"/>
      <c r="AE11" s="65"/>
      <c r="AF11" s="65">
        <f t="shared" si="8"/>
        <v>0</v>
      </c>
      <c r="AG11" s="66"/>
      <c r="AH11" s="66"/>
      <c r="AI11" s="66">
        <f t="shared" si="9"/>
        <v>0</v>
      </c>
      <c r="AJ11" s="65"/>
      <c r="AK11" s="65"/>
      <c r="AL11" s="65">
        <f t="shared" si="10"/>
        <v>0</v>
      </c>
      <c r="AM11" s="66"/>
      <c r="AN11" s="66"/>
      <c r="AO11" s="66">
        <f t="shared" ref="AO11" si="14">AM11+AN11</f>
        <v>0</v>
      </c>
    </row>
    <row r="12" spans="1:41" ht="17.25" customHeight="1" x14ac:dyDescent="0.2">
      <c r="A12" s="64" t="s">
        <v>58</v>
      </c>
      <c r="B12" s="13"/>
      <c r="C12" s="14">
        <f t="shared" si="13"/>
        <v>80174</v>
      </c>
      <c r="D12" s="14"/>
      <c r="F12" s="65">
        <v>80174</v>
      </c>
      <c r="G12" s="65"/>
      <c r="H12" s="65">
        <f t="shared" si="0"/>
        <v>80174</v>
      </c>
      <c r="I12" s="66">
        <v>0</v>
      </c>
      <c r="J12" s="66"/>
      <c r="K12" s="66">
        <f t="shared" si="1"/>
        <v>0</v>
      </c>
      <c r="L12" s="65">
        <v>0</v>
      </c>
      <c r="M12" s="65"/>
      <c r="N12" s="65">
        <f>L12+M12</f>
        <v>0</v>
      </c>
      <c r="O12" s="66">
        <v>0</v>
      </c>
      <c r="P12" s="66"/>
      <c r="Q12" s="66">
        <f t="shared" si="3"/>
        <v>0</v>
      </c>
      <c r="R12" s="65">
        <v>0</v>
      </c>
      <c r="S12" s="65"/>
      <c r="T12" s="65">
        <f t="shared" si="4"/>
        <v>0</v>
      </c>
      <c r="U12" s="66"/>
      <c r="V12" s="66"/>
      <c r="W12" s="66">
        <f t="shared" si="5"/>
        <v>0</v>
      </c>
      <c r="X12" s="65"/>
      <c r="Y12" s="65"/>
      <c r="Z12" s="65">
        <f t="shared" si="6"/>
        <v>0</v>
      </c>
      <c r="AA12" s="66"/>
      <c r="AB12" s="66"/>
      <c r="AC12" s="66">
        <f t="shared" si="7"/>
        <v>0</v>
      </c>
      <c r="AD12" s="65"/>
      <c r="AE12" s="65"/>
      <c r="AF12" s="65"/>
      <c r="AG12" s="66"/>
      <c r="AH12" s="66"/>
      <c r="AI12" s="66"/>
      <c r="AJ12" s="65"/>
      <c r="AK12" s="65"/>
      <c r="AL12" s="65"/>
      <c r="AM12" s="66"/>
      <c r="AN12" s="66"/>
      <c r="AO12" s="66"/>
    </row>
    <row r="13" spans="1:41" ht="17.25" customHeight="1" x14ac:dyDescent="0.2">
      <c r="A13" s="64" t="s">
        <v>59</v>
      </c>
      <c r="B13" s="13"/>
      <c r="C13" s="14">
        <f t="shared" si="13"/>
        <v>4672</v>
      </c>
      <c r="D13" s="14"/>
      <c r="F13" s="65">
        <v>600000</v>
      </c>
      <c r="G13" s="120">
        <v>-600000</v>
      </c>
      <c r="H13" s="65">
        <f t="shared" si="0"/>
        <v>0</v>
      </c>
      <c r="I13" s="66">
        <v>174493</v>
      </c>
      <c r="J13" s="120">
        <v>-174493</v>
      </c>
      <c r="K13" s="66">
        <f t="shared" si="1"/>
        <v>0</v>
      </c>
      <c r="L13" s="65">
        <v>0</v>
      </c>
      <c r="M13" s="65"/>
      <c r="N13" s="65">
        <f t="shared" si="2"/>
        <v>0</v>
      </c>
      <c r="O13" s="69">
        <v>450000</v>
      </c>
      <c r="P13" s="120">
        <v>-450000</v>
      </c>
      <c r="Q13" s="66">
        <f t="shared" si="3"/>
        <v>0</v>
      </c>
      <c r="R13" s="65">
        <v>0</v>
      </c>
      <c r="S13" s="65"/>
      <c r="T13" s="65">
        <f t="shared" si="4"/>
        <v>0</v>
      </c>
      <c r="U13" s="66">
        <v>1700</v>
      </c>
      <c r="V13" s="66"/>
      <c r="W13" s="66">
        <f t="shared" si="5"/>
        <v>1700</v>
      </c>
      <c r="X13" s="65"/>
      <c r="Y13" s="65"/>
      <c r="Z13" s="65">
        <f t="shared" si="6"/>
        <v>0</v>
      </c>
      <c r="AA13" s="66">
        <v>2972</v>
      </c>
      <c r="AB13" s="66"/>
      <c r="AC13" s="66">
        <f t="shared" si="7"/>
        <v>2972</v>
      </c>
      <c r="AD13" s="65"/>
      <c r="AE13" s="65"/>
      <c r="AF13" s="65">
        <f t="shared" si="8"/>
        <v>0</v>
      </c>
      <c r="AG13" s="66"/>
      <c r="AH13" s="66"/>
      <c r="AI13" s="66">
        <f t="shared" si="9"/>
        <v>0</v>
      </c>
      <c r="AJ13" s="65"/>
      <c r="AK13" s="65"/>
      <c r="AL13" s="65">
        <f t="shared" si="10"/>
        <v>0</v>
      </c>
      <c r="AM13" s="66"/>
      <c r="AN13" s="66"/>
      <c r="AO13" s="66">
        <f t="shared" ref="AO13:AO21" si="15">AM13+AN13</f>
        <v>0</v>
      </c>
    </row>
    <row r="14" spans="1:41" ht="17.25" customHeight="1" x14ac:dyDescent="0.2">
      <c r="A14" s="64" t="s">
        <v>87</v>
      </c>
      <c r="B14" s="13"/>
      <c r="C14" s="14">
        <f t="shared" si="13"/>
        <v>23375</v>
      </c>
      <c r="D14" s="14">
        <v>80000</v>
      </c>
      <c r="F14" s="65">
        <v>23375</v>
      </c>
      <c r="G14" s="65"/>
      <c r="H14" s="65">
        <f t="shared" si="0"/>
        <v>23375</v>
      </c>
      <c r="I14" s="66">
        <v>0</v>
      </c>
      <c r="J14" s="66"/>
      <c r="K14" s="66">
        <f t="shared" si="1"/>
        <v>0</v>
      </c>
      <c r="L14" s="65">
        <v>0</v>
      </c>
      <c r="M14" s="65"/>
      <c r="N14" s="65">
        <f t="shared" si="2"/>
        <v>0</v>
      </c>
      <c r="O14" s="66">
        <v>0</v>
      </c>
      <c r="P14" s="66"/>
      <c r="Q14" s="66">
        <f t="shared" si="3"/>
        <v>0</v>
      </c>
      <c r="R14" s="65">
        <v>0</v>
      </c>
      <c r="S14" s="65"/>
      <c r="T14" s="65">
        <f t="shared" si="4"/>
        <v>0</v>
      </c>
      <c r="U14" s="66"/>
      <c r="V14" s="66"/>
      <c r="W14" s="66">
        <f t="shared" si="5"/>
        <v>0</v>
      </c>
      <c r="X14" s="65"/>
      <c r="Y14" s="65"/>
      <c r="Z14" s="65">
        <f t="shared" si="6"/>
        <v>0</v>
      </c>
      <c r="AA14" s="66"/>
      <c r="AB14" s="66"/>
      <c r="AC14" s="66">
        <f t="shared" si="7"/>
        <v>0</v>
      </c>
      <c r="AD14" s="65"/>
      <c r="AE14" s="65"/>
      <c r="AF14" s="65">
        <f t="shared" si="8"/>
        <v>0</v>
      </c>
      <c r="AG14" s="66"/>
      <c r="AH14" s="66"/>
      <c r="AI14" s="66">
        <f t="shared" si="9"/>
        <v>0</v>
      </c>
      <c r="AJ14" s="65"/>
      <c r="AK14" s="65"/>
      <c r="AL14" s="65">
        <f t="shared" si="10"/>
        <v>0</v>
      </c>
      <c r="AM14" s="66"/>
      <c r="AN14" s="66"/>
      <c r="AO14" s="66">
        <f t="shared" si="15"/>
        <v>0</v>
      </c>
    </row>
    <row r="15" spans="1:41" ht="17.25" customHeight="1" x14ac:dyDescent="0.2">
      <c r="A15" s="64" t="s">
        <v>53</v>
      </c>
      <c r="B15" s="13"/>
      <c r="C15" s="14">
        <f t="shared" si="13"/>
        <v>390767</v>
      </c>
      <c r="D15" s="14">
        <v>45000</v>
      </c>
      <c r="F15" s="65"/>
      <c r="G15" s="65"/>
      <c r="H15" s="65">
        <f t="shared" si="0"/>
        <v>0</v>
      </c>
      <c r="I15" s="66">
        <v>126792</v>
      </c>
      <c r="J15" s="66"/>
      <c r="K15" s="66">
        <f t="shared" si="1"/>
        <v>126792</v>
      </c>
      <c r="L15" s="65">
        <v>0</v>
      </c>
      <c r="M15" s="65"/>
      <c r="N15" s="65">
        <f t="shared" si="2"/>
        <v>0</v>
      </c>
      <c r="O15" s="66">
        <v>232225</v>
      </c>
      <c r="P15" s="66"/>
      <c r="Q15" s="66">
        <f t="shared" si="3"/>
        <v>232225</v>
      </c>
      <c r="R15" s="65">
        <v>0</v>
      </c>
      <c r="S15" s="65"/>
      <c r="T15" s="65">
        <f t="shared" si="4"/>
        <v>0</v>
      </c>
      <c r="U15" s="66">
        <v>10500</v>
      </c>
      <c r="V15" s="66"/>
      <c r="W15" s="66">
        <f t="shared" si="5"/>
        <v>10500</v>
      </c>
      <c r="X15" s="65">
        <v>17050</v>
      </c>
      <c r="Y15" s="65"/>
      <c r="Z15" s="65">
        <f t="shared" si="6"/>
        <v>17050</v>
      </c>
      <c r="AA15" s="66">
        <v>4200</v>
      </c>
      <c r="AB15" s="66"/>
      <c r="AC15" s="66">
        <f t="shared" si="7"/>
        <v>4200</v>
      </c>
      <c r="AD15" s="65"/>
      <c r="AE15" s="65"/>
      <c r="AF15" s="65">
        <f t="shared" si="8"/>
        <v>0</v>
      </c>
      <c r="AG15" s="66"/>
      <c r="AH15" s="66"/>
      <c r="AI15" s="66">
        <f t="shared" si="9"/>
        <v>0</v>
      </c>
      <c r="AJ15" s="65"/>
      <c r="AK15" s="65"/>
      <c r="AL15" s="65">
        <f t="shared" si="10"/>
        <v>0</v>
      </c>
      <c r="AM15" s="66"/>
      <c r="AN15" s="66"/>
      <c r="AO15" s="66">
        <f t="shared" si="15"/>
        <v>0</v>
      </c>
    </row>
    <row r="16" spans="1:41" ht="17.25" customHeight="1" x14ac:dyDescent="0.2">
      <c r="A16" s="64" t="s">
        <v>54</v>
      </c>
      <c r="B16" s="13"/>
      <c r="C16" s="14">
        <f t="shared" si="13"/>
        <v>191000</v>
      </c>
      <c r="D16" s="14">
        <v>3000</v>
      </c>
      <c r="F16" s="65">
        <v>156250</v>
      </c>
      <c r="G16" s="65"/>
      <c r="H16" s="65">
        <f t="shared" si="0"/>
        <v>156250</v>
      </c>
      <c r="I16" s="66">
        <v>30000</v>
      </c>
      <c r="J16" s="66"/>
      <c r="K16" s="66">
        <f t="shared" si="1"/>
        <v>30000</v>
      </c>
      <c r="L16" s="65">
        <v>24750</v>
      </c>
      <c r="M16" s="65"/>
      <c r="N16" s="65">
        <f t="shared" si="2"/>
        <v>24750</v>
      </c>
      <c r="O16" s="66">
        <v>20000</v>
      </c>
      <c r="P16" s="66"/>
      <c r="Q16" s="66">
        <f t="shared" si="3"/>
        <v>20000</v>
      </c>
      <c r="R16" s="65">
        <v>-40000</v>
      </c>
      <c r="S16" s="65"/>
      <c r="T16" s="65">
        <f t="shared" si="4"/>
        <v>-40000</v>
      </c>
      <c r="U16" s="66"/>
      <c r="V16" s="66"/>
      <c r="W16" s="66">
        <f t="shared" si="5"/>
        <v>0</v>
      </c>
      <c r="X16" s="65"/>
      <c r="Y16" s="65"/>
      <c r="Z16" s="65">
        <f t="shared" si="6"/>
        <v>0</v>
      </c>
      <c r="AA16" s="66"/>
      <c r="AB16" s="66"/>
      <c r="AC16" s="66">
        <f t="shared" si="7"/>
        <v>0</v>
      </c>
      <c r="AD16" s="65"/>
      <c r="AE16" s="65"/>
      <c r="AF16" s="65">
        <f t="shared" si="8"/>
        <v>0</v>
      </c>
      <c r="AG16" s="66"/>
      <c r="AH16" s="66"/>
      <c r="AI16" s="66">
        <f t="shared" si="9"/>
        <v>0</v>
      </c>
      <c r="AJ16" s="65"/>
      <c r="AK16" s="65"/>
      <c r="AL16" s="65">
        <f t="shared" si="10"/>
        <v>0</v>
      </c>
      <c r="AM16" s="66"/>
      <c r="AN16" s="66"/>
      <c r="AO16" s="66">
        <f t="shared" si="15"/>
        <v>0</v>
      </c>
    </row>
    <row r="17" spans="1:41" ht="17.25" customHeight="1" x14ac:dyDescent="0.2">
      <c r="A17" s="64" t="s">
        <v>85</v>
      </c>
      <c r="B17" s="13"/>
      <c r="C17" s="14">
        <f t="shared" si="13"/>
        <v>30150</v>
      </c>
      <c r="D17" s="14">
        <v>32000</v>
      </c>
      <c r="F17" s="65"/>
      <c r="G17" s="65"/>
      <c r="H17" s="65">
        <f t="shared" si="0"/>
        <v>0</v>
      </c>
      <c r="I17" s="66">
        <v>17100</v>
      </c>
      <c r="J17" s="66"/>
      <c r="K17" s="66">
        <f t="shared" si="1"/>
        <v>17100</v>
      </c>
      <c r="L17" s="65">
        <v>0</v>
      </c>
      <c r="M17" s="65"/>
      <c r="N17" s="65">
        <f t="shared" si="2"/>
        <v>0</v>
      </c>
      <c r="O17" s="66">
        <v>13050</v>
      </c>
      <c r="P17" s="66"/>
      <c r="Q17" s="66">
        <f t="shared" si="3"/>
        <v>13050</v>
      </c>
      <c r="R17" s="65">
        <v>0</v>
      </c>
      <c r="S17" s="65"/>
      <c r="T17" s="65">
        <f t="shared" si="4"/>
        <v>0</v>
      </c>
      <c r="U17" s="66"/>
      <c r="V17" s="66"/>
      <c r="W17" s="66">
        <f t="shared" si="5"/>
        <v>0</v>
      </c>
      <c r="X17" s="65"/>
      <c r="Y17" s="65"/>
      <c r="Z17" s="65">
        <f t="shared" si="6"/>
        <v>0</v>
      </c>
      <c r="AA17" s="66"/>
      <c r="AB17" s="66"/>
      <c r="AC17" s="66">
        <f t="shared" si="7"/>
        <v>0</v>
      </c>
      <c r="AD17" s="65"/>
      <c r="AE17" s="65"/>
      <c r="AF17" s="65">
        <f t="shared" si="8"/>
        <v>0</v>
      </c>
      <c r="AG17" s="66"/>
      <c r="AH17" s="66"/>
      <c r="AI17" s="66">
        <f t="shared" si="9"/>
        <v>0</v>
      </c>
      <c r="AJ17" s="65"/>
      <c r="AK17" s="65"/>
      <c r="AL17" s="65">
        <f t="shared" si="10"/>
        <v>0</v>
      </c>
      <c r="AM17" s="66"/>
      <c r="AN17" s="66"/>
      <c r="AO17" s="66">
        <f t="shared" si="15"/>
        <v>0</v>
      </c>
    </row>
    <row r="18" spans="1:41" ht="17.25" customHeight="1" x14ac:dyDescent="0.2">
      <c r="A18" s="64" t="s">
        <v>56</v>
      </c>
      <c r="B18" s="13"/>
      <c r="C18" s="14">
        <f t="shared" si="13"/>
        <v>30000</v>
      </c>
      <c r="D18" s="14">
        <v>70000</v>
      </c>
      <c r="F18" s="65">
        <v>30000</v>
      </c>
      <c r="G18" s="65"/>
      <c r="H18" s="65">
        <f t="shared" si="0"/>
        <v>30000</v>
      </c>
      <c r="I18" s="66"/>
      <c r="J18" s="66"/>
      <c r="K18" s="66">
        <f t="shared" si="1"/>
        <v>0</v>
      </c>
      <c r="L18" s="65">
        <v>0</v>
      </c>
      <c r="M18" s="65"/>
      <c r="N18" s="65">
        <f t="shared" si="2"/>
        <v>0</v>
      </c>
      <c r="O18" s="66">
        <v>0</v>
      </c>
      <c r="P18" s="66"/>
      <c r="Q18" s="66">
        <f t="shared" si="3"/>
        <v>0</v>
      </c>
      <c r="R18" s="65">
        <v>0</v>
      </c>
      <c r="S18" s="65"/>
      <c r="T18" s="65">
        <f t="shared" si="4"/>
        <v>0</v>
      </c>
      <c r="U18" s="66"/>
      <c r="V18" s="66"/>
      <c r="W18" s="66">
        <f t="shared" si="5"/>
        <v>0</v>
      </c>
      <c r="X18" s="65"/>
      <c r="Y18" s="65"/>
      <c r="Z18" s="65">
        <f t="shared" si="6"/>
        <v>0</v>
      </c>
      <c r="AA18" s="66"/>
      <c r="AB18" s="66"/>
      <c r="AC18" s="66">
        <f t="shared" si="7"/>
        <v>0</v>
      </c>
      <c r="AD18" s="65"/>
      <c r="AE18" s="65"/>
      <c r="AF18" s="65">
        <f t="shared" si="8"/>
        <v>0</v>
      </c>
      <c r="AG18" s="66"/>
      <c r="AH18" s="66"/>
      <c r="AI18" s="66">
        <f t="shared" si="9"/>
        <v>0</v>
      </c>
      <c r="AJ18" s="65"/>
      <c r="AK18" s="65"/>
      <c r="AL18" s="65">
        <f t="shared" si="10"/>
        <v>0</v>
      </c>
      <c r="AM18" s="66"/>
      <c r="AN18" s="66"/>
      <c r="AO18" s="66">
        <f t="shared" si="15"/>
        <v>0</v>
      </c>
    </row>
    <row r="19" spans="1:41" ht="17.25" customHeight="1" x14ac:dyDescent="0.2">
      <c r="A19" s="12" t="s">
        <v>162</v>
      </c>
      <c r="B19" s="13"/>
      <c r="C19" s="14">
        <f t="shared" si="13"/>
        <v>77082</v>
      </c>
      <c r="D19" s="14">
        <v>70000</v>
      </c>
      <c r="F19" s="65">
        <v>77082</v>
      </c>
      <c r="G19" s="65"/>
      <c r="H19" s="65">
        <f t="shared" si="0"/>
        <v>77082</v>
      </c>
      <c r="I19" s="66"/>
      <c r="J19" s="66"/>
      <c r="K19" s="66">
        <f t="shared" si="1"/>
        <v>0</v>
      </c>
      <c r="L19" s="65">
        <v>0</v>
      </c>
      <c r="M19" s="65"/>
      <c r="N19" s="65">
        <f t="shared" si="2"/>
        <v>0</v>
      </c>
      <c r="O19" s="66">
        <v>0</v>
      </c>
      <c r="P19" s="66"/>
      <c r="Q19" s="66">
        <f t="shared" si="3"/>
        <v>0</v>
      </c>
      <c r="R19" s="65">
        <v>0</v>
      </c>
      <c r="S19" s="65"/>
      <c r="T19" s="65">
        <f t="shared" si="4"/>
        <v>0</v>
      </c>
      <c r="U19" s="66"/>
      <c r="V19" s="66"/>
      <c r="W19" s="66">
        <f t="shared" si="5"/>
        <v>0</v>
      </c>
      <c r="X19" s="65"/>
      <c r="Y19" s="65"/>
      <c r="Z19" s="65">
        <f t="shared" si="6"/>
        <v>0</v>
      </c>
      <c r="AA19" s="66"/>
      <c r="AB19" s="66"/>
      <c r="AC19" s="66">
        <f t="shared" si="7"/>
        <v>0</v>
      </c>
      <c r="AD19" s="65"/>
      <c r="AE19" s="65"/>
      <c r="AF19" s="65">
        <f t="shared" si="8"/>
        <v>0</v>
      </c>
      <c r="AG19" s="66"/>
      <c r="AH19" s="66"/>
      <c r="AI19" s="66">
        <f t="shared" si="9"/>
        <v>0</v>
      </c>
      <c r="AJ19" s="65"/>
      <c r="AK19" s="65"/>
      <c r="AL19" s="65">
        <f t="shared" si="10"/>
        <v>0</v>
      </c>
      <c r="AM19" s="66"/>
      <c r="AN19" s="66"/>
      <c r="AO19" s="66">
        <f t="shared" si="15"/>
        <v>0</v>
      </c>
    </row>
    <row r="20" spans="1:41" ht="17.25" customHeight="1" x14ac:dyDescent="0.2">
      <c r="A20" s="12" t="s">
        <v>124</v>
      </c>
      <c r="B20" s="13"/>
      <c r="C20" s="14">
        <f t="shared" si="13"/>
        <v>110464</v>
      </c>
      <c r="D20" s="14"/>
      <c r="F20" s="65">
        <v>110464</v>
      </c>
      <c r="G20" s="65"/>
      <c r="H20" s="65">
        <f t="shared" si="0"/>
        <v>110464</v>
      </c>
      <c r="I20" s="66"/>
      <c r="J20" s="66"/>
      <c r="K20" s="66">
        <f t="shared" si="1"/>
        <v>0</v>
      </c>
      <c r="L20" s="65">
        <v>0</v>
      </c>
      <c r="M20" s="65"/>
      <c r="N20" s="65">
        <f t="shared" si="2"/>
        <v>0</v>
      </c>
      <c r="O20" s="66">
        <v>0</v>
      </c>
      <c r="P20" s="66"/>
      <c r="Q20" s="66">
        <f t="shared" si="3"/>
        <v>0</v>
      </c>
      <c r="R20" s="65">
        <v>0</v>
      </c>
      <c r="S20" s="65"/>
      <c r="T20" s="65">
        <f t="shared" si="4"/>
        <v>0</v>
      </c>
      <c r="U20" s="66"/>
      <c r="V20" s="66"/>
      <c r="W20" s="66">
        <f t="shared" si="5"/>
        <v>0</v>
      </c>
      <c r="X20" s="65"/>
      <c r="Y20" s="65"/>
      <c r="Z20" s="65">
        <f t="shared" si="6"/>
        <v>0</v>
      </c>
      <c r="AA20" s="66"/>
      <c r="AB20" s="66"/>
      <c r="AC20" s="66">
        <f t="shared" si="7"/>
        <v>0</v>
      </c>
      <c r="AD20" s="65"/>
      <c r="AE20" s="65"/>
      <c r="AF20" s="65">
        <f t="shared" si="8"/>
        <v>0</v>
      </c>
      <c r="AG20" s="66"/>
      <c r="AH20" s="66"/>
      <c r="AI20" s="66">
        <f t="shared" si="9"/>
        <v>0</v>
      </c>
      <c r="AJ20" s="65"/>
      <c r="AK20" s="65"/>
      <c r="AL20" s="65">
        <f t="shared" si="10"/>
        <v>0</v>
      </c>
      <c r="AM20" s="66"/>
      <c r="AN20" s="66"/>
      <c r="AO20" s="66">
        <f t="shared" si="15"/>
        <v>0</v>
      </c>
    </row>
    <row r="21" spans="1:41" ht="17.25" customHeight="1" x14ac:dyDescent="0.2">
      <c r="A21" s="64" t="s">
        <v>55</v>
      </c>
      <c r="B21" s="13"/>
      <c r="C21" s="14">
        <f t="shared" si="13"/>
        <v>83312</v>
      </c>
      <c r="D21" s="14">
        <v>20000</v>
      </c>
      <c r="F21" s="65">
        <v>60364</v>
      </c>
      <c r="G21" s="65"/>
      <c r="H21" s="65">
        <f t="shared" si="0"/>
        <v>60364</v>
      </c>
      <c r="I21" s="66"/>
      <c r="J21" s="66"/>
      <c r="K21" s="66">
        <f t="shared" si="1"/>
        <v>0</v>
      </c>
      <c r="L21" s="65">
        <v>2000</v>
      </c>
      <c r="M21" s="65"/>
      <c r="N21" s="65">
        <f t="shared" si="2"/>
        <v>2000</v>
      </c>
      <c r="O21" s="69">
        <v>20948</v>
      </c>
      <c r="P21" s="66"/>
      <c r="Q21" s="66">
        <f t="shared" si="3"/>
        <v>20948</v>
      </c>
      <c r="R21" s="65">
        <v>0</v>
      </c>
      <c r="S21" s="65"/>
      <c r="T21" s="65">
        <f t="shared" si="4"/>
        <v>0</v>
      </c>
      <c r="U21" s="66"/>
      <c r="V21" s="66"/>
      <c r="W21" s="66">
        <f t="shared" si="5"/>
        <v>0</v>
      </c>
      <c r="X21" s="65"/>
      <c r="Y21" s="65"/>
      <c r="Z21" s="65">
        <f t="shared" si="6"/>
        <v>0</v>
      </c>
      <c r="AA21" s="66"/>
      <c r="AB21" s="66"/>
      <c r="AC21" s="66">
        <f t="shared" si="7"/>
        <v>0</v>
      </c>
      <c r="AD21" s="65"/>
      <c r="AE21" s="65"/>
      <c r="AF21" s="65">
        <f t="shared" si="8"/>
        <v>0</v>
      </c>
      <c r="AG21" s="66"/>
      <c r="AH21" s="66"/>
      <c r="AI21" s="66">
        <f t="shared" si="9"/>
        <v>0</v>
      </c>
      <c r="AJ21" s="65"/>
      <c r="AK21" s="65"/>
      <c r="AL21" s="65">
        <f t="shared" si="10"/>
        <v>0</v>
      </c>
      <c r="AM21" s="66"/>
      <c r="AN21" s="66"/>
      <c r="AO21" s="66">
        <f t="shared" si="15"/>
        <v>0</v>
      </c>
    </row>
    <row r="22" spans="1:41" ht="17.25" x14ac:dyDescent="0.3">
      <c r="A22" s="4" t="s">
        <v>5</v>
      </c>
      <c r="B22" s="16"/>
      <c r="C22" s="17">
        <f>SUM(C7:C21)</f>
        <v>2789537</v>
      </c>
      <c r="D22" s="17">
        <f>SUM(D7:D21)</f>
        <v>380000</v>
      </c>
      <c r="F22" s="67">
        <f t="shared" ref="F22:AL22" si="16">SUM(F7:F21)</f>
        <v>1246040</v>
      </c>
      <c r="G22" s="67">
        <f t="shared" si="16"/>
        <v>-600000</v>
      </c>
      <c r="H22" s="67">
        <f t="shared" si="16"/>
        <v>646040</v>
      </c>
      <c r="I22" s="67">
        <f t="shared" si="16"/>
        <v>628946</v>
      </c>
      <c r="J22" s="67">
        <f t="shared" si="16"/>
        <v>-174493</v>
      </c>
      <c r="K22" s="67">
        <f t="shared" si="16"/>
        <v>454453</v>
      </c>
      <c r="L22" s="67">
        <f t="shared" si="16"/>
        <v>273059</v>
      </c>
      <c r="M22" s="67">
        <f t="shared" si="16"/>
        <v>0</v>
      </c>
      <c r="N22" s="67">
        <f t="shared" si="16"/>
        <v>273059</v>
      </c>
      <c r="O22" s="67">
        <f t="shared" si="16"/>
        <v>865593</v>
      </c>
      <c r="P22" s="67">
        <f t="shared" si="16"/>
        <v>-450000</v>
      </c>
      <c r="Q22" s="67">
        <f t="shared" si="16"/>
        <v>415593</v>
      </c>
      <c r="R22" s="67">
        <f t="shared" si="16"/>
        <v>963970</v>
      </c>
      <c r="S22" s="67">
        <f t="shared" si="16"/>
        <v>0</v>
      </c>
      <c r="T22" s="67">
        <f t="shared" si="16"/>
        <v>963970</v>
      </c>
      <c r="U22" s="67">
        <f t="shared" si="16"/>
        <v>12200</v>
      </c>
      <c r="V22" s="67">
        <f t="shared" si="16"/>
        <v>0</v>
      </c>
      <c r="W22" s="67">
        <f t="shared" si="16"/>
        <v>12200</v>
      </c>
      <c r="X22" s="67">
        <f t="shared" si="16"/>
        <v>17050</v>
      </c>
      <c r="Y22" s="67">
        <f t="shared" si="16"/>
        <v>0</v>
      </c>
      <c r="Z22" s="67">
        <f t="shared" si="16"/>
        <v>17050</v>
      </c>
      <c r="AA22" s="67">
        <f t="shared" si="16"/>
        <v>7172</v>
      </c>
      <c r="AB22" s="67">
        <f t="shared" si="16"/>
        <v>0</v>
      </c>
      <c r="AC22" s="67">
        <f t="shared" si="16"/>
        <v>7172</v>
      </c>
      <c r="AD22" s="67">
        <f t="shared" si="16"/>
        <v>0</v>
      </c>
      <c r="AE22" s="67">
        <f t="shared" si="16"/>
        <v>0</v>
      </c>
      <c r="AF22" s="67">
        <f t="shared" si="16"/>
        <v>0</v>
      </c>
      <c r="AG22" s="67">
        <f t="shared" si="16"/>
        <v>0</v>
      </c>
      <c r="AH22" s="67">
        <f t="shared" si="16"/>
        <v>0</v>
      </c>
      <c r="AI22" s="67">
        <f t="shared" si="16"/>
        <v>0</v>
      </c>
      <c r="AJ22" s="67">
        <f t="shared" si="16"/>
        <v>0</v>
      </c>
      <c r="AK22" s="67">
        <f t="shared" si="16"/>
        <v>0</v>
      </c>
      <c r="AL22" s="67">
        <f t="shared" si="16"/>
        <v>0</v>
      </c>
      <c r="AM22" s="67">
        <f t="shared" ref="AM22:AO22" si="17">SUM(AM7:AM21)</f>
        <v>0</v>
      </c>
      <c r="AN22" s="67">
        <f t="shared" si="17"/>
        <v>0</v>
      </c>
      <c r="AO22" s="67">
        <f t="shared" si="17"/>
        <v>0</v>
      </c>
    </row>
    <row r="23" spans="1:41" ht="21.95" customHeight="1" x14ac:dyDescent="0.3">
      <c r="A23" s="15"/>
      <c r="B23" s="16"/>
      <c r="C23" s="18"/>
      <c r="D23" s="18"/>
      <c r="F23" s="65"/>
      <c r="G23" s="65"/>
      <c r="H23" s="65"/>
      <c r="I23" s="66"/>
      <c r="J23" s="66"/>
      <c r="K23" s="66"/>
      <c r="L23" s="65"/>
      <c r="M23" s="65"/>
      <c r="N23" s="65"/>
      <c r="O23" s="66"/>
      <c r="P23" s="66"/>
      <c r="Q23" s="66"/>
      <c r="R23" s="65"/>
      <c r="S23" s="65"/>
      <c r="T23" s="65"/>
      <c r="U23" s="66"/>
      <c r="V23" s="66"/>
      <c r="W23" s="66"/>
      <c r="X23" s="65"/>
      <c r="Y23" s="65"/>
      <c r="Z23" s="65"/>
      <c r="AA23" s="66"/>
      <c r="AB23" s="66"/>
      <c r="AC23" s="66"/>
      <c r="AD23" s="65"/>
      <c r="AE23" s="65"/>
      <c r="AF23" s="65"/>
      <c r="AG23" s="66"/>
      <c r="AH23" s="66"/>
      <c r="AI23" s="66"/>
      <c r="AJ23" s="65"/>
      <c r="AK23" s="65"/>
      <c r="AL23" s="65"/>
      <c r="AM23" s="66"/>
      <c r="AN23" s="66"/>
      <c r="AO23" s="66"/>
    </row>
    <row r="24" spans="1:41" ht="17.25" x14ac:dyDescent="0.3">
      <c r="A24" s="4" t="s">
        <v>6</v>
      </c>
      <c r="B24" s="16"/>
      <c r="C24" s="19"/>
      <c r="D24" s="19"/>
      <c r="F24" s="65"/>
      <c r="G24" s="65"/>
      <c r="H24" s="65"/>
      <c r="I24" s="66"/>
      <c r="J24" s="66"/>
      <c r="K24" s="66"/>
      <c r="L24" s="65"/>
      <c r="M24" s="65"/>
      <c r="N24" s="65"/>
      <c r="O24" s="66"/>
      <c r="P24" s="66"/>
      <c r="Q24" s="66"/>
      <c r="R24" s="65"/>
      <c r="S24" s="65"/>
      <c r="T24" s="65"/>
      <c r="U24" s="66"/>
      <c r="V24" s="66"/>
      <c r="W24" s="66"/>
      <c r="X24" s="65"/>
      <c r="Y24" s="65"/>
      <c r="Z24" s="65"/>
      <c r="AA24" s="66"/>
      <c r="AB24" s="66"/>
      <c r="AC24" s="66"/>
      <c r="AD24" s="65"/>
      <c r="AE24" s="65"/>
      <c r="AF24" s="65"/>
      <c r="AG24" s="66"/>
      <c r="AH24" s="66"/>
      <c r="AI24" s="66"/>
      <c r="AJ24" s="65"/>
      <c r="AK24" s="65"/>
      <c r="AL24" s="65"/>
      <c r="AM24" s="66"/>
      <c r="AN24" s="66"/>
      <c r="AO24" s="66"/>
    </row>
    <row r="25" spans="1:41" ht="9.9499999999999993" customHeight="1" x14ac:dyDescent="0.3">
      <c r="A25" s="15"/>
      <c r="B25" s="16"/>
      <c r="C25" s="19"/>
      <c r="D25" s="19"/>
      <c r="F25" s="65"/>
      <c r="G25" s="65"/>
      <c r="H25" s="65"/>
      <c r="I25" s="66"/>
      <c r="J25" s="66"/>
      <c r="K25" s="66"/>
      <c r="L25" s="65"/>
      <c r="M25" s="65"/>
      <c r="N25" s="65"/>
      <c r="O25" s="66"/>
      <c r="P25" s="66"/>
      <c r="Q25" s="66"/>
      <c r="R25" s="65"/>
      <c r="S25" s="65"/>
      <c r="T25" s="65"/>
      <c r="U25" s="66"/>
      <c r="V25" s="66"/>
      <c r="W25" s="66"/>
      <c r="X25" s="65"/>
      <c r="Y25" s="65"/>
      <c r="Z25" s="65"/>
      <c r="AA25" s="66"/>
      <c r="AB25" s="66"/>
      <c r="AC25" s="66"/>
      <c r="AD25" s="65"/>
      <c r="AE25" s="65"/>
      <c r="AF25" s="65"/>
      <c r="AG25" s="66"/>
      <c r="AH25" s="66"/>
      <c r="AI25" s="66"/>
      <c r="AJ25" s="65"/>
      <c r="AK25" s="65"/>
      <c r="AL25" s="65"/>
      <c r="AM25" s="66"/>
      <c r="AN25" s="66"/>
      <c r="AO25" s="66"/>
    </row>
    <row r="26" spans="1:41" ht="16.5" customHeight="1" x14ac:dyDescent="0.3">
      <c r="A26" s="68" t="s">
        <v>89</v>
      </c>
      <c r="B26" s="16"/>
      <c r="C26" s="14">
        <f>H26+K26+N26+Q26+T26+W26+Z26+AC26+AF26+AI26+AL26+AO26</f>
        <v>421645</v>
      </c>
      <c r="D26" s="19"/>
      <c r="F26" s="65"/>
      <c r="G26" s="65"/>
      <c r="H26" s="65">
        <f t="shared" si="0"/>
        <v>0</v>
      </c>
      <c r="I26" s="66">
        <v>24611</v>
      </c>
      <c r="J26" s="66"/>
      <c r="K26" s="66">
        <f t="shared" si="1"/>
        <v>24611</v>
      </c>
      <c r="L26" s="65">
        <v>55786</v>
      </c>
      <c r="M26" s="65"/>
      <c r="N26" s="65">
        <f t="shared" si="2"/>
        <v>55786</v>
      </c>
      <c r="O26" s="66">
        <v>27166</v>
      </c>
      <c r="P26" s="66"/>
      <c r="Q26" s="66">
        <f t="shared" si="3"/>
        <v>27166</v>
      </c>
      <c r="R26" s="65">
        <v>314082</v>
      </c>
      <c r="S26" s="65"/>
      <c r="T26" s="65">
        <f t="shared" si="4"/>
        <v>314082</v>
      </c>
      <c r="U26" s="66"/>
      <c r="V26" s="66"/>
      <c r="W26" s="66">
        <f t="shared" si="5"/>
        <v>0</v>
      </c>
      <c r="X26" s="65"/>
      <c r="Y26" s="65"/>
      <c r="Z26" s="65">
        <f t="shared" si="6"/>
        <v>0</v>
      </c>
      <c r="AA26" s="66"/>
      <c r="AB26" s="66"/>
      <c r="AC26" s="66">
        <f t="shared" si="7"/>
        <v>0</v>
      </c>
      <c r="AD26" s="65"/>
      <c r="AE26" s="65"/>
      <c r="AF26" s="65">
        <f t="shared" si="8"/>
        <v>0</v>
      </c>
      <c r="AG26" s="66"/>
      <c r="AH26" s="66"/>
      <c r="AI26" s="66">
        <f t="shared" si="9"/>
        <v>0</v>
      </c>
      <c r="AJ26" s="65"/>
      <c r="AK26" s="65"/>
      <c r="AL26" s="65">
        <f t="shared" si="10"/>
        <v>0</v>
      </c>
      <c r="AM26" s="66"/>
      <c r="AN26" s="66"/>
      <c r="AO26" s="66">
        <f t="shared" ref="AO26:AO30" si="18">AM26+AN26</f>
        <v>0</v>
      </c>
    </row>
    <row r="27" spans="1:41" ht="16.5" customHeight="1" x14ac:dyDescent="0.3">
      <c r="A27" s="68" t="s">
        <v>60</v>
      </c>
      <c r="B27" s="16"/>
      <c r="C27" s="14">
        <f>H27+K27+N27+Q27+T27+W27+Z27+AC27+AF27+AI27+AL27+AO27</f>
        <v>843875</v>
      </c>
      <c r="D27" s="19">
        <v>35000</v>
      </c>
      <c r="F27" s="65">
        <v>485995</v>
      </c>
      <c r="G27" s="65"/>
      <c r="H27" s="65">
        <f t="shared" si="0"/>
        <v>485995</v>
      </c>
      <c r="I27" s="66">
        <v>50822</v>
      </c>
      <c r="J27" s="66"/>
      <c r="K27" s="66">
        <f t="shared" si="1"/>
        <v>50822</v>
      </c>
      <c r="L27" s="65">
        <v>19851</v>
      </c>
      <c r="M27" s="65"/>
      <c r="N27" s="65">
        <f t="shared" si="2"/>
        <v>19851</v>
      </c>
      <c r="O27" s="66">
        <v>244357</v>
      </c>
      <c r="P27" s="66"/>
      <c r="Q27" s="66">
        <f t="shared" si="3"/>
        <v>244357</v>
      </c>
      <c r="R27" s="65">
        <v>35850</v>
      </c>
      <c r="S27" s="65"/>
      <c r="T27" s="65">
        <f t="shared" si="4"/>
        <v>35850</v>
      </c>
      <c r="U27" s="66"/>
      <c r="V27" s="66"/>
      <c r="W27" s="66">
        <f t="shared" si="5"/>
        <v>0</v>
      </c>
      <c r="X27" s="65"/>
      <c r="Y27" s="65"/>
      <c r="Z27" s="65">
        <f t="shared" si="6"/>
        <v>0</v>
      </c>
      <c r="AA27" s="66">
        <v>7000</v>
      </c>
      <c r="AB27" s="66"/>
      <c r="AC27" s="66">
        <f t="shared" si="7"/>
        <v>7000</v>
      </c>
      <c r="AD27" s="65"/>
      <c r="AE27" s="65"/>
      <c r="AF27" s="65">
        <f t="shared" si="8"/>
        <v>0</v>
      </c>
      <c r="AG27" s="66"/>
      <c r="AH27" s="66"/>
      <c r="AI27" s="66">
        <f t="shared" si="9"/>
        <v>0</v>
      </c>
      <c r="AJ27" s="65"/>
      <c r="AK27" s="65"/>
      <c r="AL27" s="65">
        <f t="shared" si="10"/>
        <v>0</v>
      </c>
      <c r="AM27" s="66"/>
      <c r="AN27" s="66"/>
      <c r="AO27" s="66">
        <f t="shared" si="18"/>
        <v>0</v>
      </c>
    </row>
    <row r="28" spans="1:41" ht="16.5" customHeight="1" x14ac:dyDescent="0.3">
      <c r="A28" s="68" t="s">
        <v>62</v>
      </c>
      <c r="B28" s="16"/>
      <c r="C28" s="14">
        <f>H28+K28+N28+Q28+T28+W28+Z28+AC28+AF28+AI28+AL28+AO28</f>
        <v>131000</v>
      </c>
      <c r="D28" s="19">
        <v>0</v>
      </c>
      <c r="F28" s="65">
        <v>121600</v>
      </c>
      <c r="G28" s="65"/>
      <c r="H28" s="65">
        <f t="shared" si="0"/>
        <v>121600</v>
      </c>
      <c r="I28" s="66">
        <v>0</v>
      </c>
      <c r="J28" s="66"/>
      <c r="K28" s="66">
        <f t="shared" si="1"/>
        <v>0</v>
      </c>
      <c r="L28" s="65">
        <v>0</v>
      </c>
      <c r="M28" s="65"/>
      <c r="N28" s="65">
        <f t="shared" si="2"/>
        <v>0</v>
      </c>
      <c r="O28" s="66">
        <v>9400</v>
      </c>
      <c r="P28" s="66"/>
      <c r="Q28" s="66">
        <f t="shared" si="3"/>
        <v>9400</v>
      </c>
      <c r="R28" s="65">
        <v>0</v>
      </c>
      <c r="S28" s="65"/>
      <c r="T28" s="65">
        <f t="shared" si="4"/>
        <v>0</v>
      </c>
      <c r="U28" s="66"/>
      <c r="V28" s="66"/>
      <c r="W28" s="66">
        <f t="shared" si="5"/>
        <v>0</v>
      </c>
      <c r="X28" s="65"/>
      <c r="Y28" s="65"/>
      <c r="Z28" s="65">
        <f t="shared" si="6"/>
        <v>0</v>
      </c>
      <c r="AA28" s="66"/>
      <c r="AB28" s="66"/>
      <c r="AC28" s="66">
        <f t="shared" si="7"/>
        <v>0</v>
      </c>
      <c r="AD28" s="65"/>
      <c r="AE28" s="65"/>
      <c r="AF28" s="65">
        <f t="shared" si="8"/>
        <v>0</v>
      </c>
      <c r="AG28" s="66"/>
      <c r="AH28" s="66"/>
      <c r="AI28" s="66">
        <f t="shared" si="9"/>
        <v>0</v>
      </c>
      <c r="AJ28" s="65"/>
      <c r="AK28" s="65"/>
      <c r="AL28" s="65">
        <f t="shared" si="10"/>
        <v>0</v>
      </c>
      <c r="AM28" s="66"/>
      <c r="AN28" s="66"/>
      <c r="AO28" s="66">
        <f t="shared" si="18"/>
        <v>0</v>
      </c>
    </row>
    <row r="29" spans="1:41" ht="16.5" customHeight="1" x14ac:dyDescent="0.3">
      <c r="A29" s="68" t="s">
        <v>61</v>
      </c>
      <c r="B29" s="16"/>
      <c r="C29" s="14">
        <f>H29+K29+N29+Q29+T29+W29+Z29+AC29+AF29+AI29+AL29+AO29</f>
        <v>117955</v>
      </c>
      <c r="D29" s="19">
        <v>45000</v>
      </c>
      <c r="F29" s="65">
        <v>117955</v>
      </c>
      <c r="G29" s="65"/>
      <c r="H29" s="65">
        <f t="shared" si="0"/>
        <v>117955</v>
      </c>
      <c r="I29" s="66">
        <v>0</v>
      </c>
      <c r="J29" s="66"/>
      <c r="K29" s="66">
        <f t="shared" si="1"/>
        <v>0</v>
      </c>
      <c r="L29" s="65">
        <v>0</v>
      </c>
      <c r="M29" s="65"/>
      <c r="N29" s="65">
        <f t="shared" si="2"/>
        <v>0</v>
      </c>
      <c r="O29" s="66">
        <v>0</v>
      </c>
      <c r="P29" s="66"/>
      <c r="Q29" s="66">
        <f t="shared" si="3"/>
        <v>0</v>
      </c>
      <c r="R29" s="65">
        <v>0</v>
      </c>
      <c r="S29" s="65"/>
      <c r="T29" s="65">
        <f t="shared" si="4"/>
        <v>0</v>
      </c>
      <c r="U29" s="66"/>
      <c r="V29" s="66"/>
      <c r="W29" s="66">
        <f t="shared" si="5"/>
        <v>0</v>
      </c>
      <c r="X29" s="65"/>
      <c r="Y29" s="65"/>
      <c r="Z29" s="65">
        <f t="shared" si="6"/>
        <v>0</v>
      </c>
      <c r="AA29" s="66"/>
      <c r="AB29" s="66"/>
      <c r="AC29" s="66">
        <f t="shared" si="7"/>
        <v>0</v>
      </c>
      <c r="AD29" s="65"/>
      <c r="AE29" s="65"/>
      <c r="AF29" s="65">
        <f t="shared" si="8"/>
        <v>0</v>
      </c>
      <c r="AG29" s="66"/>
      <c r="AH29" s="66"/>
      <c r="AI29" s="66">
        <f t="shared" si="9"/>
        <v>0</v>
      </c>
      <c r="AJ29" s="65"/>
      <c r="AK29" s="65"/>
      <c r="AL29" s="65">
        <f t="shared" si="10"/>
        <v>0</v>
      </c>
      <c r="AM29" s="66"/>
      <c r="AN29" s="66"/>
      <c r="AO29" s="66">
        <f t="shared" si="18"/>
        <v>0</v>
      </c>
    </row>
    <row r="30" spans="1:41" ht="17.25" x14ac:dyDescent="0.3">
      <c r="A30" s="68" t="s">
        <v>63</v>
      </c>
      <c r="B30" s="16"/>
      <c r="C30" s="14">
        <f>H30+K30+N30+Q30+T30+W30+Z30+AC30+AF30+AI30+AL30+AO30</f>
        <v>1414780</v>
      </c>
      <c r="D30" s="19">
        <v>20000</v>
      </c>
      <c r="F30" s="65">
        <f>321382+30898</f>
        <v>352280</v>
      </c>
      <c r="G30" s="65"/>
      <c r="H30" s="65">
        <f t="shared" si="0"/>
        <v>352280</v>
      </c>
      <c r="I30" s="66">
        <v>390142</v>
      </c>
      <c r="J30" s="66"/>
      <c r="K30" s="66">
        <f t="shared" si="1"/>
        <v>390142</v>
      </c>
      <c r="L30" s="65">
        <v>47571</v>
      </c>
      <c r="M30" s="65"/>
      <c r="N30" s="65">
        <f t="shared" si="2"/>
        <v>47571</v>
      </c>
      <c r="O30" s="66">
        <v>450818</v>
      </c>
      <c r="P30" s="66"/>
      <c r="Q30" s="66">
        <f t="shared" si="3"/>
        <v>450818</v>
      </c>
      <c r="R30" s="65">
        <v>123313</v>
      </c>
      <c r="S30" s="65"/>
      <c r="T30" s="65">
        <f t="shared" si="4"/>
        <v>123313</v>
      </c>
      <c r="U30" s="66">
        <v>29268</v>
      </c>
      <c r="V30" s="66"/>
      <c r="W30" s="66">
        <f t="shared" si="5"/>
        <v>29268</v>
      </c>
      <c r="X30" s="65">
        <v>13632</v>
      </c>
      <c r="Y30" s="65"/>
      <c r="Z30" s="65">
        <f t="shared" si="6"/>
        <v>13632</v>
      </c>
      <c r="AA30" s="66">
        <v>7756</v>
      </c>
      <c r="AB30" s="66"/>
      <c r="AC30" s="66">
        <f t="shared" si="7"/>
        <v>7756</v>
      </c>
      <c r="AD30" s="65"/>
      <c r="AE30" s="65"/>
      <c r="AF30" s="65">
        <f t="shared" si="8"/>
        <v>0</v>
      </c>
      <c r="AG30" s="66"/>
      <c r="AH30" s="66"/>
      <c r="AI30" s="66">
        <f t="shared" si="9"/>
        <v>0</v>
      </c>
      <c r="AJ30" s="65"/>
      <c r="AK30" s="65"/>
      <c r="AL30" s="65">
        <f t="shared" si="10"/>
        <v>0</v>
      </c>
      <c r="AM30" s="66"/>
      <c r="AN30" s="66"/>
      <c r="AO30" s="66">
        <f t="shared" si="18"/>
        <v>0</v>
      </c>
    </row>
    <row r="31" spans="1:41" ht="17.25" x14ac:dyDescent="0.3">
      <c r="A31" s="4" t="s">
        <v>7</v>
      </c>
      <c r="B31" s="16"/>
      <c r="C31" s="17">
        <f>SUM(C26:C30)</f>
        <v>2929255</v>
      </c>
      <c r="D31" s="17">
        <f>SUM(D27:D30)</f>
        <v>100000</v>
      </c>
      <c r="F31" s="17">
        <f t="shared" ref="F31:AL31" si="19">SUM(F26:F30)</f>
        <v>1077830</v>
      </c>
      <c r="G31" s="17">
        <f t="shared" si="19"/>
        <v>0</v>
      </c>
      <c r="H31" s="17">
        <f t="shared" si="19"/>
        <v>1077830</v>
      </c>
      <c r="I31" s="17">
        <f t="shared" si="19"/>
        <v>465575</v>
      </c>
      <c r="J31" s="17">
        <f t="shared" si="19"/>
        <v>0</v>
      </c>
      <c r="K31" s="17">
        <f t="shared" si="19"/>
        <v>465575</v>
      </c>
      <c r="L31" s="17">
        <f t="shared" si="19"/>
        <v>123208</v>
      </c>
      <c r="M31" s="17">
        <f t="shared" si="19"/>
        <v>0</v>
      </c>
      <c r="N31" s="17">
        <f t="shared" si="19"/>
        <v>123208</v>
      </c>
      <c r="O31" s="17">
        <f t="shared" si="19"/>
        <v>731741</v>
      </c>
      <c r="P31" s="17">
        <f t="shared" si="19"/>
        <v>0</v>
      </c>
      <c r="Q31" s="17">
        <f t="shared" si="19"/>
        <v>731741</v>
      </c>
      <c r="R31" s="17">
        <f t="shared" si="19"/>
        <v>473245</v>
      </c>
      <c r="S31" s="17">
        <f t="shared" si="19"/>
        <v>0</v>
      </c>
      <c r="T31" s="17">
        <f t="shared" si="19"/>
        <v>473245</v>
      </c>
      <c r="U31" s="17">
        <f t="shared" si="19"/>
        <v>29268</v>
      </c>
      <c r="V31" s="17">
        <f t="shared" si="19"/>
        <v>0</v>
      </c>
      <c r="W31" s="17">
        <f t="shared" si="19"/>
        <v>29268</v>
      </c>
      <c r="X31" s="17">
        <f t="shared" si="19"/>
        <v>13632</v>
      </c>
      <c r="Y31" s="17">
        <f t="shared" si="19"/>
        <v>0</v>
      </c>
      <c r="Z31" s="17">
        <f t="shared" si="19"/>
        <v>13632</v>
      </c>
      <c r="AA31" s="17">
        <f t="shared" si="19"/>
        <v>14756</v>
      </c>
      <c r="AB31" s="17">
        <f t="shared" si="19"/>
        <v>0</v>
      </c>
      <c r="AC31" s="17">
        <f t="shared" si="19"/>
        <v>14756</v>
      </c>
      <c r="AD31" s="17">
        <f t="shared" si="19"/>
        <v>0</v>
      </c>
      <c r="AE31" s="17">
        <f t="shared" si="19"/>
        <v>0</v>
      </c>
      <c r="AF31" s="17">
        <f t="shared" si="19"/>
        <v>0</v>
      </c>
      <c r="AG31" s="17">
        <f t="shared" si="19"/>
        <v>0</v>
      </c>
      <c r="AH31" s="17">
        <f t="shared" si="19"/>
        <v>0</v>
      </c>
      <c r="AI31" s="17">
        <f t="shared" si="19"/>
        <v>0</v>
      </c>
      <c r="AJ31" s="17">
        <f t="shared" si="19"/>
        <v>0</v>
      </c>
      <c r="AK31" s="17">
        <f t="shared" si="19"/>
        <v>0</v>
      </c>
      <c r="AL31" s="17">
        <f t="shared" si="19"/>
        <v>0</v>
      </c>
      <c r="AM31" s="17">
        <f t="shared" ref="AM31:AO31" si="20">SUM(AM26:AM30)</f>
        <v>0</v>
      </c>
      <c r="AN31" s="17">
        <f t="shared" si="20"/>
        <v>0</v>
      </c>
      <c r="AO31" s="17">
        <f t="shared" si="20"/>
        <v>0</v>
      </c>
    </row>
    <row r="32" spans="1:41" ht="17.25" x14ac:dyDescent="0.3">
      <c r="A32" s="15"/>
      <c r="B32" s="16"/>
      <c r="C32" s="20"/>
      <c r="D32" s="20"/>
      <c r="F32" s="65"/>
      <c r="G32" s="65"/>
      <c r="H32" s="65">
        <f t="shared" si="0"/>
        <v>0</v>
      </c>
      <c r="I32" s="66"/>
      <c r="J32" s="66"/>
      <c r="K32" s="66">
        <f t="shared" si="1"/>
        <v>0</v>
      </c>
      <c r="L32" s="65"/>
      <c r="M32" s="65"/>
      <c r="N32" s="65">
        <f t="shared" si="2"/>
        <v>0</v>
      </c>
      <c r="O32" s="66"/>
      <c r="P32" s="66"/>
      <c r="Q32" s="66">
        <f t="shared" si="3"/>
        <v>0</v>
      </c>
      <c r="R32" s="65"/>
      <c r="S32" s="65"/>
      <c r="T32" s="65">
        <f t="shared" si="4"/>
        <v>0</v>
      </c>
      <c r="U32" s="66"/>
      <c r="V32" s="66"/>
      <c r="W32" s="66">
        <f t="shared" si="5"/>
        <v>0</v>
      </c>
      <c r="X32" s="65"/>
      <c r="Y32" s="65"/>
      <c r="Z32" s="65">
        <f t="shared" si="6"/>
        <v>0</v>
      </c>
      <c r="AA32" s="66"/>
      <c r="AB32" s="66"/>
      <c r="AC32" s="66">
        <f t="shared" si="7"/>
        <v>0</v>
      </c>
      <c r="AD32" s="65"/>
      <c r="AE32" s="65"/>
      <c r="AF32" s="65">
        <f t="shared" si="8"/>
        <v>0</v>
      </c>
      <c r="AG32" s="66"/>
      <c r="AH32" s="66"/>
      <c r="AI32" s="66">
        <f t="shared" si="9"/>
        <v>0</v>
      </c>
      <c r="AJ32" s="65"/>
      <c r="AK32" s="65"/>
      <c r="AL32" s="65">
        <f t="shared" si="10"/>
        <v>0</v>
      </c>
      <c r="AM32" s="66"/>
      <c r="AN32" s="66"/>
      <c r="AO32" s="66">
        <f t="shared" ref="AO32" si="21">AM32+AN32</f>
        <v>0</v>
      </c>
    </row>
    <row r="33" spans="1:41" ht="17.25" x14ac:dyDescent="0.3">
      <c r="A33" s="4" t="s">
        <v>8</v>
      </c>
      <c r="B33" s="16"/>
      <c r="C33" s="21">
        <f>C22-C31</f>
        <v>-139718</v>
      </c>
      <c r="D33" s="21">
        <f>D22-D31</f>
        <v>280000</v>
      </c>
      <c r="F33" s="21">
        <f t="shared" ref="F33:AL33" si="22">F22-F31</f>
        <v>168210</v>
      </c>
      <c r="G33" s="21">
        <f t="shared" si="22"/>
        <v>-600000</v>
      </c>
      <c r="H33" s="21">
        <f t="shared" si="22"/>
        <v>-431790</v>
      </c>
      <c r="I33" s="21">
        <f t="shared" si="22"/>
        <v>163371</v>
      </c>
      <c r="J33" s="21">
        <f t="shared" si="22"/>
        <v>-174493</v>
      </c>
      <c r="K33" s="21">
        <f t="shared" si="22"/>
        <v>-11122</v>
      </c>
      <c r="L33" s="21">
        <f t="shared" si="22"/>
        <v>149851</v>
      </c>
      <c r="M33" s="21">
        <f t="shared" si="22"/>
        <v>0</v>
      </c>
      <c r="N33" s="21">
        <f t="shared" si="22"/>
        <v>149851</v>
      </c>
      <c r="O33" s="21">
        <f t="shared" si="22"/>
        <v>133852</v>
      </c>
      <c r="P33" s="21">
        <f t="shared" si="22"/>
        <v>-450000</v>
      </c>
      <c r="Q33" s="21">
        <f t="shared" si="22"/>
        <v>-316148</v>
      </c>
      <c r="R33" s="21">
        <f t="shared" si="22"/>
        <v>490725</v>
      </c>
      <c r="S33" s="21">
        <f t="shared" si="22"/>
        <v>0</v>
      </c>
      <c r="T33" s="21">
        <f t="shared" si="22"/>
        <v>490725</v>
      </c>
      <c r="U33" s="21">
        <f t="shared" si="22"/>
        <v>-17068</v>
      </c>
      <c r="V33" s="21">
        <f t="shared" si="22"/>
        <v>0</v>
      </c>
      <c r="W33" s="21">
        <f t="shared" si="22"/>
        <v>-17068</v>
      </c>
      <c r="X33" s="21">
        <f t="shared" si="22"/>
        <v>3418</v>
      </c>
      <c r="Y33" s="21">
        <f t="shared" si="22"/>
        <v>0</v>
      </c>
      <c r="Z33" s="21">
        <f t="shared" si="22"/>
        <v>3418</v>
      </c>
      <c r="AA33" s="21">
        <f t="shared" si="22"/>
        <v>-7584</v>
      </c>
      <c r="AB33" s="21">
        <f t="shared" si="22"/>
        <v>0</v>
      </c>
      <c r="AC33" s="21">
        <f t="shared" si="22"/>
        <v>-7584</v>
      </c>
      <c r="AD33" s="21">
        <f t="shared" si="22"/>
        <v>0</v>
      </c>
      <c r="AE33" s="21">
        <f t="shared" si="22"/>
        <v>0</v>
      </c>
      <c r="AF33" s="21">
        <f t="shared" si="22"/>
        <v>0</v>
      </c>
      <c r="AG33" s="21">
        <f t="shared" si="22"/>
        <v>0</v>
      </c>
      <c r="AH33" s="21">
        <f t="shared" si="22"/>
        <v>0</v>
      </c>
      <c r="AI33" s="21">
        <f t="shared" si="22"/>
        <v>0</v>
      </c>
      <c r="AJ33" s="21">
        <f t="shared" si="22"/>
        <v>0</v>
      </c>
      <c r="AK33" s="21">
        <f t="shared" si="22"/>
        <v>0</v>
      </c>
      <c r="AL33" s="21">
        <f t="shared" si="22"/>
        <v>0</v>
      </c>
      <c r="AM33" s="21">
        <f t="shared" ref="AM33:AO33" si="23">AM22-AM31</f>
        <v>0</v>
      </c>
      <c r="AN33" s="21">
        <f t="shared" si="23"/>
        <v>0</v>
      </c>
      <c r="AO33" s="21">
        <f t="shared" si="23"/>
        <v>0</v>
      </c>
    </row>
    <row r="34" spans="1:41" ht="23.1" customHeight="1" x14ac:dyDescent="0.3">
      <c r="A34" s="22"/>
      <c r="B34" s="16"/>
      <c r="C34" s="18"/>
      <c r="D34" s="18"/>
      <c r="F34" s="65"/>
      <c r="G34" s="65"/>
      <c r="H34" s="65"/>
      <c r="I34" s="66"/>
      <c r="J34" s="66"/>
      <c r="K34" s="66"/>
      <c r="L34" s="65"/>
      <c r="M34" s="65"/>
      <c r="N34" s="65"/>
      <c r="O34" s="66"/>
      <c r="P34" s="66"/>
      <c r="Q34" s="66"/>
      <c r="R34" s="65"/>
      <c r="S34" s="65"/>
      <c r="T34" s="65"/>
      <c r="U34" s="66"/>
      <c r="V34" s="66"/>
      <c r="W34" s="66"/>
      <c r="X34" s="65"/>
      <c r="Y34" s="65"/>
      <c r="Z34" s="65"/>
      <c r="AA34" s="66"/>
      <c r="AB34" s="66"/>
      <c r="AC34" s="66"/>
      <c r="AD34" s="65"/>
      <c r="AE34" s="65"/>
      <c r="AF34" s="65"/>
      <c r="AG34" s="66"/>
      <c r="AH34" s="66"/>
      <c r="AI34" s="66"/>
      <c r="AJ34" s="65"/>
      <c r="AK34" s="65"/>
      <c r="AL34" s="65"/>
      <c r="AM34" s="66"/>
      <c r="AN34" s="66"/>
      <c r="AO34" s="66"/>
    </row>
    <row r="35" spans="1:41" ht="17.25" x14ac:dyDescent="0.3">
      <c r="A35" s="4" t="s">
        <v>9</v>
      </c>
      <c r="B35" s="16"/>
      <c r="C35" s="19"/>
      <c r="D35" s="19"/>
      <c r="F35" s="65"/>
      <c r="G35" s="65"/>
      <c r="H35" s="65"/>
      <c r="I35" s="66"/>
      <c r="J35" s="66"/>
      <c r="K35" s="66"/>
      <c r="L35" s="65"/>
      <c r="M35" s="65"/>
      <c r="N35" s="65"/>
      <c r="O35" s="66"/>
      <c r="P35" s="66"/>
      <c r="Q35" s="66"/>
      <c r="R35" s="65"/>
      <c r="S35" s="65"/>
      <c r="T35" s="65"/>
      <c r="U35" s="66"/>
      <c r="V35" s="66"/>
      <c r="W35" s="66"/>
      <c r="X35" s="65"/>
      <c r="Y35" s="65"/>
      <c r="Z35" s="65"/>
      <c r="AA35" s="66"/>
      <c r="AB35" s="66"/>
      <c r="AC35" s="66"/>
      <c r="AD35" s="65"/>
      <c r="AE35" s="65"/>
      <c r="AF35" s="65"/>
      <c r="AG35" s="66"/>
      <c r="AH35" s="66"/>
      <c r="AI35" s="66"/>
      <c r="AJ35" s="65"/>
      <c r="AK35" s="65"/>
      <c r="AL35" s="65"/>
      <c r="AM35" s="66"/>
      <c r="AN35" s="66"/>
      <c r="AO35" s="66"/>
    </row>
    <row r="36" spans="1:41" ht="9.9499999999999993" customHeight="1" x14ac:dyDescent="0.3">
      <c r="A36" s="4"/>
      <c r="B36" s="16"/>
      <c r="C36" s="19"/>
      <c r="D36" s="19"/>
      <c r="F36" s="65"/>
      <c r="G36" s="65"/>
      <c r="H36" s="65"/>
      <c r="I36" s="66"/>
      <c r="J36" s="66"/>
      <c r="K36" s="66"/>
      <c r="L36" s="65"/>
      <c r="M36" s="65"/>
      <c r="N36" s="65"/>
      <c r="O36" s="66"/>
      <c r="P36" s="66"/>
      <c r="Q36" s="66"/>
      <c r="R36" s="65"/>
      <c r="S36" s="65"/>
      <c r="T36" s="65"/>
      <c r="U36" s="66"/>
      <c r="V36" s="66"/>
      <c r="W36" s="66"/>
      <c r="X36" s="65"/>
      <c r="Y36" s="65"/>
      <c r="Z36" s="65"/>
      <c r="AA36" s="66"/>
      <c r="AB36" s="66"/>
      <c r="AC36" s="66"/>
      <c r="AD36" s="65"/>
      <c r="AE36" s="65"/>
      <c r="AF36" s="65"/>
      <c r="AG36" s="66"/>
      <c r="AH36" s="66"/>
      <c r="AI36" s="66"/>
      <c r="AJ36" s="65"/>
      <c r="AK36" s="65"/>
      <c r="AL36" s="65"/>
      <c r="AM36" s="66"/>
      <c r="AN36" s="66"/>
      <c r="AO36" s="66"/>
    </row>
    <row r="37" spans="1:41" ht="17.25" x14ac:dyDescent="0.3">
      <c r="A37" s="15" t="s">
        <v>10</v>
      </c>
      <c r="B37" s="16"/>
      <c r="C37" s="14">
        <f>H37+K37+N37+Q37+T37+W37+Z37+AC37+AF37+AI37+AL37+AO37</f>
        <v>8741</v>
      </c>
      <c r="D37" s="19">
        <v>0</v>
      </c>
      <c r="F37" s="65">
        <v>13</v>
      </c>
      <c r="G37" s="65"/>
      <c r="H37" s="65">
        <f t="shared" si="0"/>
        <v>13</v>
      </c>
      <c r="I37" s="66">
        <v>496</v>
      </c>
      <c r="J37" s="66"/>
      <c r="K37" s="66">
        <f t="shared" si="1"/>
        <v>496</v>
      </c>
      <c r="L37" s="65">
        <v>99</v>
      </c>
      <c r="M37" s="65"/>
      <c r="N37" s="65">
        <f t="shared" si="2"/>
        <v>99</v>
      </c>
      <c r="O37" s="66">
        <v>17</v>
      </c>
      <c r="P37" s="66"/>
      <c r="Q37" s="66">
        <f t="shared" si="3"/>
        <v>17</v>
      </c>
      <c r="R37" s="65">
        <v>8008</v>
      </c>
      <c r="S37" s="65"/>
      <c r="T37" s="65">
        <f t="shared" si="4"/>
        <v>8008</v>
      </c>
      <c r="U37" s="66">
        <v>2</v>
      </c>
      <c r="V37" s="66"/>
      <c r="W37" s="66">
        <f t="shared" si="5"/>
        <v>2</v>
      </c>
      <c r="X37" s="65">
        <v>63</v>
      </c>
      <c r="Y37" s="65"/>
      <c r="Z37" s="65">
        <f t="shared" si="6"/>
        <v>63</v>
      </c>
      <c r="AA37" s="66">
        <v>43</v>
      </c>
      <c r="AB37" s="66"/>
      <c r="AC37" s="66">
        <f t="shared" si="7"/>
        <v>43</v>
      </c>
      <c r="AD37" s="65"/>
      <c r="AE37" s="65"/>
      <c r="AF37" s="65">
        <f t="shared" si="8"/>
        <v>0</v>
      </c>
      <c r="AG37" s="66"/>
      <c r="AH37" s="66"/>
      <c r="AI37" s="66">
        <f t="shared" si="9"/>
        <v>0</v>
      </c>
      <c r="AJ37" s="65"/>
      <c r="AK37" s="65"/>
      <c r="AL37" s="65">
        <f t="shared" si="10"/>
        <v>0</v>
      </c>
      <c r="AM37" s="66"/>
      <c r="AN37" s="66"/>
      <c r="AO37" s="66">
        <f t="shared" ref="AO37:AO39" si="24">AM37+AN37</f>
        <v>0</v>
      </c>
    </row>
    <row r="38" spans="1:41" ht="17.25" x14ac:dyDescent="0.3">
      <c r="A38" s="68" t="s">
        <v>64</v>
      </c>
      <c r="B38" s="16"/>
      <c r="C38" s="14">
        <f>H38+K38+N38+Q38+T38+W38+Z38+AC38+AF38+AI38+AL38+AO38</f>
        <v>112846</v>
      </c>
      <c r="D38" s="19"/>
      <c r="F38" s="65">
        <v>112806</v>
      </c>
      <c r="G38" s="65"/>
      <c r="H38" s="65">
        <f t="shared" si="0"/>
        <v>112806</v>
      </c>
      <c r="I38" s="66"/>
      <c r="J38" s="66"/>
      <c r="K38" s="66">
        <f t="shared" si="1"/>
        <v>0</v>
      </c>
      <c r="L38" s="65">
        <v>0</v>
      </c>
      <c r="M38" s="65"/>
      <c r="N38" s="65">
        <f t="shared" si="2"/>
        <v>0</v>
      </c>
      <c r="O38" s="66">
        <v>40</v>
      </c>
      <c r="P38" s="66"/>
      <c r="Q38" s="66">
        <f t="shared" si="3"/>
        <v>40</v>
      </c>
      <c r="R38" s="65">
        <v>0</v>
      </c>
      <c r="S38" s="65"/>
      <c r="T38" s="65">
        <f t="shared" si="4"/>
        <v>0</v>
      </c>
      <c r="U38" s="66">
        <v>0</v>
      </c>
      <c r="V38" s="66"/>
      <c r="W38" s="66">
        <f t="shared" si="5"/>
        <v>0</v>
      </c>
      <c r="X38" s="65"/>
      <c r="Y38" s="65"/>
      <c r="Z38" s="65">
        <f t="shared" si="6"/>
        <v>0</v>
      </c>
      <c r="AA38" s="66">
        <v>0</v>
      </c>
      <c r="AB38" s="66"/>
      <c r="AC38" s="66">
        <f t="shared" si="7"/>
        <v>0</v>
      </c>
      <c r="AD38" s="65"/>
      <c r="AE38" s="65"/>
      <c r="AF38" s="65">
        <f t="shared" si="8"/>
        <v>0</v>
      </c>
      <c r="AG38" s="66"/>
      <c r="AH38" s="66"/>
      <c r="AI38" s="66">
        <f t="shared" si="9"/>
        <v>0</v>
      </c>
      <c r="AJ38" s="65"/>
      <c r="AK38" s="65"/>
      <c r="AL38" s="65">
        <f t="shared" si="10"/>
        <v>0</v>
      </c>
      <c r="AM38" s="66"/>
      <c r="AN38" s="66"/>
      <c r="AO38" s="66">
        <f t="shared" si="24"/>
        <v>0</v>
      </c>
    </row>
    <row r="39" spans="1:41" ht="17.25" x14ac:dyDescent="0.3">
      <c r="A39" s="68" t="s">
        <v>65</v>
      </c>
      <c r="B39" s="16"/>
      <c r="C39" s="14">
        <f>H39+K39+N39+Q39+T39+W39+Z39+AC39+AF39+AI39+AL39+AO39</f>
        <v>0</v>
      </c>
      <c r="D39" s="19"/>
      <c r="F39" s="65"/>
      <c r="G39" s="65"/>
      <c r="H39" s="65">
        <f t="shared" si="0"/>
        <v>0</v>
      </c>
      <c r="I39" s="66"/>
      <c r="J39" s="66"/>
      <c r="K39" s="66">
        <f t="shared" si="1"/>
        <v>0</v>
      </c>
      <c r="L39" s="65">
        <v>0</v>
      </c>
      <c r="M39" s="65"/>
      <c r="N39" s="65">
        <f t="shared" si="2"/>
        <v>0</v>
      </c>
      <c r="O39" s="66">
        <v>0</v>
      </c>
      <c r="P39" s="66"/>
      <c r="Q39" s="66">
        <f t="shared" si="3"/>
        <v>0</v>
      </c>
      <c r="R39" s="65">
        <v>0</v>
      </c>
      <c r="S39" s="65"/>
      <c r="T39" s="65">
        <f t="shared" si="4"/>
        <v>0</v>
      </c>
      <c r="U39" s="66">
        <v>0</v>
      </c>
      <c r="V39" s="66"/>
      <c r="W39" s="66">
        <f t="shared" si="5"/>
        <v>0</v>
      </c>
      <c r="X39" s="65"/>
      <c r="Y39" s="65"/>
      <c r="Z39" s="65">
        <f t="shared" si="6"/>
        <v>0</v>
      </c>
      <c r="AA39" s="66">
        <v>0</v>
      </c>
      <c r="AB39" s="66"/>
      <c r="AC39" s="66">
        <f t="shared" si="7"/>
        <v>0</v>
      </c>
      <c r="AD39" s="65"/>
      <c r="AE39" s="65"/>
      <c r="AF39" s="65">
        <f t="shared" si="8"/>
        <v>0</v>
      </c>
      <c r="AG39" s="66"/>
      <c r="AH39" s="66"/>
      <c r="AI39" s="66">
        <f t="shared" si="9"/>
        <v>0</v>
      </c>
      <c r="AJ39" s="65"/>
      <c r="AK39" s="65"/>
      <c r="AL39" s="65">
        <f t="shared" si="10"/>
        <v>0</v>
      </c>
      <c r="AM39" s="66"/>
      <c r="AN39" s="66"/>
      <c r="AO39" s="66">
        <f t="shared" si="24"/>
        <v>0</v>
      </c>
    </row>
    <row r="40" spans="1:41" ht="21.95" customHeight="1" x14ac:dyDescent="0.3">
      <c r="A40" s="4" t="s">
        <v>11</v>
      </c>
      <c r="B40" s="16"/>
      <c r="C40" s="17">
        <f>C37-C38-C39</f>
        <v>-104105</v>
      </c>
      <c r="D40" s="17">
        <f>SUM(D37:D37)</f>
        <v>0</v>
      </c>
      <c r="F40" s="17">
        <f t="shared" ref="F40:AO40" si="25">F37-F38-F39</f>
        <v>-112793</v>
      </c>
      <c r="G40" s="17">
        <f t="shared" si="25"/>
        <v>0</v>
      </c>
      <c r="H40" s="17">
        <f t="shared" si="25"/>
        <v>-112793</v>
      </c>
      <c r="I40" s="17">
        <f t="shared" si="25"/>
        <v>496</v>
      </c>
      <c r="J40" s="17">
        <f t="shared" si="25"/>
        <v>0</v>
      </c>
      <c r="K40" s="17">
        <f t="shared" si="25"/>
        <v>496</v>
      </c>
      <c r="L40" s="17">
        <f t="shared" si="25"/>
        <v>99</v>
      </c>
      <c r="M40" s="17">
        <f t="shared" si="25"/>
        <v>0</v>
      </c>
      <c r="N40" s="17">
        <f t="shared" si="25"/>
        <v>99</v>
      </c>
      <c r="O40" s="17">
        <f t="shared" si="25"/>
        <v>-23</v>
      </c>
      <c r="P40" s="17">
        <f t="shared" si="25"/>
        <v>0</v>
      </c>
      <c r="Q40" s="17">
        <f t="shared" si="25"/>
        <v>-23</v>
      </c>
      <c r="R40" s="17">
        <f t="shared" si="25"/>
        <v>8008</v>
      </c>
      <c r="S40" s="17">
        <f t="shared" si="25"/>
        <v>0</v>
      </c>
      <c r="T40" s="17">
        <f t="shared" si="25"/>
        <v>8008</v>
      </c>
      <c r="U40" s="17">
        <f t="shared" si="25"/>
        <v>2</v>
      </c>
      <c r="V40" s="17">
        <f t="shared" si="25"/>
        <v>0</v>
      </c>
      <c r="W40" s="17">
        <f t="shared" si="25"/>
        <v>2</v>
      </c>
      <c r="X40" s="17">
        <f t="shared" si="25"/>
        <v>63</v>
      </c>
      <c r="Y40" s="17">
        <f t="shared" si="25"/>
        <v>0</v>
      </c>
      <c r="Z40" s="17">
        <f t="shared" si="25"/>
        <v>63</v>
      </c>
      <c r="AA40" s="17">
        <f t="shared" si="25"/>
        <v>43</v>
      </c>
      <c r="AB40" s="17">
        <f t="shared" si="25"/>
        <v>0</v>
      </c>
      <c r="AC40" s="17">
        <f t="shared" si="25"/>
        <v>43</v>
      </c>
      <c r="AD40" s="17">
        <f t="shared" si="25"/>
        <v>0</v>
      </c>
      <c r="AE40" s="17">
        <f t="shared" si="25"/>
        <v>0</v>
      </c>
      <c r="AF40" s="17">
        <f t="shared" si="25"/>
        <v>0</v>
      </c>
      <c r="AG40" s="17">
        <f t="shared" si="25"/>
        <v>0</v>
      </c>
      <c r="AH40" s="17">
        <f t="shared" si="25"/>
        <v>0</v>
      </c>
      <c r="AI40" s="17">
        <f t="shared" si="25"/>
        <v>0</v>
      </c>
      <c r="AJ40" s="17">
        <f t="shared" si="25"/>
        <v>0</v>
      </c>
      <c r="AK40" s="17">
        <f t="shared" si="25"/>
        <v>0</v>
      </c>
      <c r="AL40" s="17">
        <f t="shared" si="25"/>
        <v>0</v>
      </c>
      <c r="AM40" s="17">
        <f t="shared" si="25"/>
        <v>0</v>
      </c>
      <c r="AN40" s="17">
        <f t="shared" si="25"/>
        <v>0</v>
      </c>
      <c r="AO40" s="17">
        <f t="shared" si="25"/>
        <v>0</v>
      </c>
    </row>
    <row r="41" spans="1:41" ht="17.25" x14ac:dyDescent="0.3">
      <c r="A41" s="15"/>
      <c r="B41" s="16"/>
      <c r="C41" s="18"/>
      <c r="D41" s="18"/>
      <c r="F41" s="65"/>
      <c r="G41" s="65"/>
      <c r="H41" s="65">
        <f t="shared" si="0"/>
        <v>0</v>
      </c>
      <c r="I41" s="66"/>
      <c r="J41" s="66"/>
      <c r="K41" s="66">
        <f t="shared" si="1"/>
        <v>0</v>
      </c>
      <c r="L41" s="65"/>
      <c r="M41" s="65"/>
      <c r="N41" s="65">
        <f t="shared" si="2"/>
        <v>0</v>
      </c>
      <c r="O41" s="66"/>
      <c r="P41" s="66"/>
      <c r="Q41" s="66">
        <f t="shared" si="3"/>
        <v>0</v>
      </c>
      <c r="R41" s="65"/>
      <c r="S41" s="65"/>
      <c r="T41" s="65">
        <f t="shared" si="4"/>
        <v>0</v>
      </c>
      <c r="U41" s="66"/>
      <c r="V41" s="66"/>
      <c r="W41" s="66">
        <f t="shared" si="5"/>
        <v>0</v>
      </c>
      <c r="X41" s="65"/>
      <c r="Y41" s="65"/>
      <c r="Z41" s="65">
        <f t="shared" si="6"/>
        <v>0</v>
      </c>
      <c r="AA41" s="66"/>
      <c r="AB41" s="66"/>
      <c r="AC41" s="66">
        <f t="shared" si="7"/>
        <v>0</v>
      </c>
      <c r="AD41" s="65"/>
      <c r="AE41" s="65"/>
      <c r="AF41" s="65">
        <f t="shared" si="8"/>
        <v>0</v>
      </c>
      <c r="AG41" s="66"/>
      <c r="AH41" s="66"/>
      <c r="AI41" s="66">
        <f t="shared" si="9"/>
        <v>0</v>
      </c>
      <c r="AJ41" s="65"/>
      <c r="AK41" s="65"/>
      <c r="AL41" s="65">
        <f t="shared" si="10"/>
        <v>0</v>
      </c>
      <c r="AM41" s="66"/>
      <c r="AN41" s="66"/>
      <c r="AO41" s="66">
        <f t="shared" ref="AO41" si="26">AM41+AN41</f>
        <v>0</v>
      </c>
    </row>
    <row r="42" spans="1:41" ht="18" thickBot="1" x14ac:dyDescent="0.35">
      <c r="A42" s="4" t="s">
        <v>12</v>
      </c>
      <c r="B42" s="16"/>
      <c r="C42" s="23">
        <f>C33+C40</f>
        <v>-243823</v>
      </c>
      <c r="D42" s="23">
        <f>D33+D40</f>
        <v>280000</v>
      </c>
      <c r="F42" s="23">
        <f t="shared" ref="F42:AO42" si="27">F33+F40</f>
        <v>55417</v>
      </c>
      <c r="G42" s="23">
        <f t="shared" si="27"/>
        <v>-600000</v>
      </c>
      <c r="H42" s="23">
        <f t="shared" si="27"/>
        <v>-544583</v>
      </c>
      <c r="I42" s="23">
        <f t="shared" si="27"/>
        <v>163867</v>
      </c>
      <c r="J42" s="23">
        <f t="shared" si="27"/>
        <v>-174493</v>
      </c>
      <c r="K42" s="23">
        <f t="shared" si="27"/>
        <v>-10626</v>
      </c>
      <c r="L42" s="23">
        <f t="shared" si="27"/>
        <v>149950</v>
      </c>
      <c r="M42" s="23">
        <f t="shared" si="27"/>
        <v>0</v>
      </c>
      <c r="N42" s="23">
        <f t="shared" si="27"/>
        <v>149950</v>
      </c>
      <c r="O42" s="23">
        <f t="shared" si="27"/>
        <v>133829</v>
      </c>
      <c r="P42" s="23">
        <f t="shared" si="27"/>
        <v>-450000</v>
      </c>
      <c r="Q42" s="23">
        <f t="shared" si="27"/>
        <v>-316171</v>
      </c>
      <c r="R42" s="23">
        <f t="shared" si="27"/>
        <v>498733</v>
      </c>
      <c r="S42" s="23">
        <f t="shared" si="27"/>
        <v>0</v>
      </c>
      <c r="T42" s="23">
        <f t="shared" si="27"/>
        <v>498733</v>
      </c>
      <c r="U42" s="23">
        <f t="shared" si="27"/>
        <v>-17066</v>
      </c>
      <c r="V42" s="23">
        <f t="shared" si="27"/>
        <v>0</v>
      </c>
      <c r="W42" s="23">
        <f t="shared" si="27"/>
        <v>-17066</v>
      </c>
      <c r="X42" s="23">
        <f t="shared" si="27"/>
        <v>3481</v>
      </c>
      <c r="Y42" s="23">
        <f t="shared" si="27"/>
        <v>0</v>
      </c>
      <c r="Z42" s="23">
        <f t="shared" si="27"/>
        <v>3481</v>
      </c>
      <c r="AA42" s="23">
        <f t="shared" si="27"/>
        <v>-7541</v>
      </c>
      <c r="AB42" s="23">
        <f t="shared" si="27"/>
        <v>0</v>
      </c>
      <c r="AC42" s="23">
        <f t="shared" si="27"/>
        <v>-7541</v>
      </c>
      <c r="AD42" s="23">
        <f t="shared" si="27"/>
        <v>0</v>
      </c>
      <c r="AE42" s="23">
        <f t="shared" si="27"/>
        <v>0</v>
      </c>
      <c r="AF42" s="23">
        <f t="shared" si="27"/>
        <v>0</v>
      </c>
      <c r="AG42" s="23">
        <f t="shared" si="27"/>
        <v>0</v>
      </c>
      <c r="AH42" s="23">
        <f t="shared" si="27"/>
        <v>0</v>
      </c>
      <c r="AI42" s="23">
        <f t="shared" si="27"/>
        <v>0</v>
      </c>
      <c r="AJ42" s="23">
        <f t="shared" si="27"/>
        <v>0</v>
      </c>
      <c r="AK42" s="23">
        <f t="shared" si="27"/>
        <v>0</v>
      </c>
      <c r="AL42" s="23">
        <f t="shared" si="27"/>
        <v>0</v>
      </c>
      <c r="AM42" s="23">
        <f t="shared" si="27"/>
        <v>0</v>
      </c>
      <c r="AN42" s="23">
        <f t="shared" si="27"/>
        <v>0</v>
      </c>
      <c r="AO42" s="23">
        <f t="shared" si="27"/>
        <v>0</v>
      </c>
    </row>
    <row r="43" spans="1:41" ht="18" thickTop="1" x14ac:dyDescent="0.3">
      <c r="A43" s="15"/>
      <c r="B43" s="16"/>
      <c r="C43" s="24"/>
      <c r="D43" s="24"/>
      <c r="F43" s="65"/>
      <c r="G43" s="65"/>
      <c r="H43" s="65"/>
      <c r="I43" s="66"/>
      <c r="J43" s="66"/>
      <c r="K43" s="66"/>
      <c r="L43" s="65"/>
      <c r="M43" s="65"/>
      <c r="N43" s="65"/>
      <c r="O43" s="66"/>
      <c r="P43" s="66"/>
      <c r="Q43" s="66"/>
      <c r="R43" s="65"/>
      <c r="S43" s="65"/>
      <c r="T43" s="65"/>
      <c r="U43" s="66"/>
      <c r="V43" s="66"/>
      <c r="W43" s="66"/>
      <c r="X43" s="65"/>
      <c r="Y43" s="65"/>
      <c r="Z43" s="65"/>
      <c r="AA43" s="66"/>
      <c r="AB43" s="66"/>
      <c r="AC43" s="66"/>
      <c r="AD43" s="65"/>
      <c r="AE43" s="65"/>
      <c r="AF43" s="65"/>
      <c r="AG43" s="66"/>
      <c r="AH43" s="66"/>
      <c r="AI43" s="66"/>
      <c r="AJ43" s="65"/>
      <c r="AK43" s="65"/>
      <c r="AL43" s="65"/>
      <c r="AM43" s="66"/>
      <c r="AN43" s="66"/>
      <c r="AO43" s="66"/>
    </row>
    <row r="44" spans="1:41" ht="21.95" customHeight="1" x14ac:dyDescent="0.3">
      <c r="A44" s="15"/>
      <c r="B44" s="16"/>
      <c r="C44" s="24"/>
      <c r="D44" s="24"/>
      <c r="F44" s="65"/>
      <c r="G44" s="65"/>
      <c r="H44" s="65"/>
      <c r="I44" s="66"/>
      <c r="J44" s="66"/>
      <c r="K44" s="66"/>
      <c r="L44" s="65"/>
      <c r="M44" s="65"/>
      <c r="N44" s="65"/>
      <c r="O44" s="66"/>
      <c r="P44" s="66"/>
      <c r="Q44" s="66"/>
      <c r="R44" s="65"/>
      <c r="S44" s="65"/>
      <c r="T44" s="65"/>
      <c r="U44" s="66"/>
      <c r="V44" s="66"/>
      <c r="W44" s="66"/>
      <c r="X44" s="65"/>
      <c r="Y44" s="65"/>
      <c r="Z44" s="65"/>
      <c r="AA44" s="66"/>
      <c r="AB44" s="66"/>
      <c r="AC44" s="66"/>
      <c r="AD44" s="65"/>
      <c r="AE44" s="65"/>
      <c r="AF44" s="65"/>
      <c r="AG44" s="66"/>
      <c r="AH44" s="66"/>
      <c r="AI44" s="66"/>
      <c r="AJ44" s="65"/>
      <c r="AK44" s="65"/>
      <c r="AL44" s="65"/>
      <c r="AM44" s="66"/>
      <c r="AN44" s="66"/>
      <c r="AO44" s="66"/>
    </row>
    <row r="45" spans="1:41" ht="17.25" x14ac:dyDescent="0.3">
      <c r="A45" s="4" t="s">
        <v>13</v>
      </c>
      <c r="B45" s="25"/>
      <c r="C45" s="26"/>
      <c r="D45" s="26"/>
      <c r="F45" s="65"/>
      <c r="G45" s="65"/>
      <c r="H45" s="65"/>
      <c r="I45" s="66"/>
      <c r="J45" s="66"/>
      <c r="K45" s="66"/>
      <c r="L45" s="65"/>
      <c r="M45" s="65"/>
      <c r="N45" s="65"/>
      <c r="O45" s="66"/>
      <c r="P45" s="66"/>
      <c r="Q45" s="66"/>
      <c r="R45" s="65"/>
      <c r="S45" s="65"/>
      <c r="T45" s="65"/>
      <c r="U45" s="66"/>
      <c r="V45" s="66"/>
      <c r="W45" s="66"/>
      <c r="X45" s="65"/>
      <c r="Y45" s="65"/>
      <c r="Z45" s="65"/>
      <c r="AA45" s="66"/>
      <c r="AB45" s="66"/>
      <c r="AC45" s="66"/>
      <c r="AD45" s="65"/>
      <c r="AE45" s="65"/>
      <c r="AF45" s="65"/>
      <c r="AG45" s="66"/>
      <c r="AH45" s="66"/>
      <c r="AI45" s="66"/>
      <c r="AJ45" s="65"/>
      <c r="AK45" s="65"/>
      <c r="AL45" s="65"/>
      <c r="AM45" s="66"/>
      <c r="AN45" s="66"/>
      <c r="AO45" s="66"/>
    </row>
    <row r="46" spans="1:41" ht="17.25" x14ac:dyDescent="0.3">
      <c r="A46" s="15" t="s">
        <v>14</v>
      </c>
      <c r="B46" s="16"/>
      <c r="C46" s="14">
        <f>H46+K46+N46+Q46+T46+W46+Z46+AC46+AF46+AI46+AL46+AO46</f>
        <v>-243823</v>
      </c>
      <c r="D46" s="27">
        <f>D42</f>
        <v>280000</v>
      </c>
      <c r="F46" s="27">
        <f>F42</f>
        <v>55417</v>
      </c>
      <c r="G46" s="27">
        <f t="shared" ref="G46:AL46" si="28">G42</f>
        <v>-600000</v>
      </c>
      <c r="H46" s="27">
        <f t="shared" si="28"/>
        <v>-544583</v>
      </c>
      <c r="I46" s="27">
        <f t="shared" si="28"/>
        <v>163867</v>
      </c>
      <c r="J46" s="27">
        <f t="shared" si="28"/>
        <v>-174493</v>
      </c>
      <c r="K46" s="27">
        <f t="shared" si="28"/>
        <v>-10626</v>
      </c>
      <c r="L46" s="27">
        <f t="shared" si="28"/>
        <v>149950</v>
      </c>
      <c r="M46" s="27">
        <f t="shared" si="28"/>
        <v>0</v>
      </c>
      <c r="N46" s="27">
        <f>L46+M46</f>
        <v>149950</v>
      </c>
      <c r="O46" s="27">
        <f t="shared" si="28"/>
        <v>133829</v>
      </c>
      <c r="P46" s="27">
        <f t="shared" si="28"/>
        <v>-450000</v>
      </c>
      <c r="Q46" s="27">
        <f t="shared" si="28"/>
        <v>-316171</v>
      </c>
      <c r="R46" s="27">
        <f t="shared" si="28"/>
        <v>498733</v>
      </c>
      <c r="S46" s="121">
        <f>S42</f>
        <v>0</v>
      </c>
      <c r="T46" s="27">
        <f>R46+S46</f>
        <v>498733</v>
      </c>
      <c r="U46" s="27">
        <f t="shared" si="28"/>
        <v>-17066</v>
      </c>
      <c r="V46" s="27">
        <f t="shared" si="28"/>
        <v>0</v>
      </c>
      <c r="W46" s="27">
        <f t="shared" si="28"/>
        <v>-17066</v>
      </c>
      <c r="X46" s="27">
        <f t="shared" si="28"/>
        <v>3481</v>
      </c>
      <c r="Y46" s="27">
        <f t="shared" si="28"/>
        <v>0</v>
      </c>
      <c r="Z46" s="27">
        <f t="shared" si="28"/>
        <v>3481</v>
      </c>
      <c r="AA46" s="27">
        <f t="shared" si="28"/>
        <v>-7541</v>
      </c>
      <c r="AB46" s="27">
        <f t="shared" si="28"/>
        <v>0</v>
      </c>
      <c r="AC46" s="27">
        <f t="shared" si="28"/>
        <v>-7541</v>
      </c>
      <c r="AD46" s="27">
        <f t="shared" si="28"/>
        <v>0</v>
      </c>
      <c r="AE46" s="27">
        <f t="shared" si="28"/>
        <v>0</v>
      </c>
      <c r="AF46" s="27">
        <f t="shared" si="28"/>
        <v>0</v>
      </c>
      <c r="AG46" s="27">
        <f t="shared" si="28"/>
        <v>0</v>
      </c>
      <c r="AH46" s="27">
        <f t="shared" si="28"/>
        <v>0</v>
      </c>
      <c r="AI46" s="27">
        <f t="shared" si="28"/>
        <v>0</v>
      </c>
      <c r="AJ46" s="27">
        <f t="shared" si="28"/>
        <v>0</v>
      </c>
      <c r="AK46" s="27">
        <f t="shared" si="28"/>
        <v>0</v>
      </c>
      <c r="AL46" s="27">
        <f t="shared" si="28"/>
        <v>0</v>
      </c>
      <c r="AM46" s="27">
        <f t="shared" ref="AM46:AO46" si="29">AM42</f>
        <v>0</v>
      </c>
      <c r="AN46" s="27">
        <f t="shared" si="29"/>
        <v>0</v>
      </c>
      <c r="AO46" s="27">
        <f t="shared" si="29"/>
        <v>0</v>
      </c>
    </row>
    <row r="47" spans="1:41" ht="18.95" customHeight="1" thickBot="1" x14ac:dyDescent="0.35">
      <c r="A47" s="4" t="s">
        <v>15</v>
      </c>
      <c r="B47" s="16"/>
      <c r="C47" s="23">
        <f>SUM(C46:C46)</f>
        <v>-243823</v>
      </c>
      <c r="D47" s="23">
        <f>D42</f>
        <v>280000</v>
      </c>
      <c r="F47" s="23">
        <f t="shared" ref="F47:AL47" si="30">SUM(F46:F46)</f>
        <v>55417</v>
      </c>
      <c r="G47" s="23">
        <f t="shared" si="30"/>
        <v>-600000</v>
      </c>
      <c r="H47" s="23">
        <f t="shared" si="30"/>
        <v>-544583</v>
      </c>
      <c r="I47" s="23">
        <f t="shared" si="30"/>
        <v>163867</v>
      </c>
      <c r="J47" s="23">
        <f t="shared" si="30"/>
        <v>-174493</v>
      </c>
      <c r="K47" s="23">
        <f t="shared" si="30"/>
        <v>-10626</v>
      </c>
      <c r="L47" s="23">
        <f t="shared" si="30"/>
        <v>149950</v>
      </c>
      <c r="M47" s="23">
        <f t="shared" si="30"/>
        <v>0</v>
      </c>
      <c r="N47" s="23">
        <f t="shared" si="30"/>
        <v>149950</v>
      </c>
      <c r="O47" s="23">
        <f t="shared" si="30"/>
        <v>133829</v>
      </c>
      <c r="P47" s="23">
        <f t="shared" si="30"/>
        <v>-450000</v>
      </c>
      <c r="Q47" s="23">
        <f t="shared" si="30"/>
        <v>-316171</v>
      </c>
      <c r="R47" s="23">
        <f t="shared" si="30"/>
        <v>498733</v>
      </c>
      <c r="S47" s="23">
        <f t="shared" si="30"/>
        <v>0</v>
      </c>
      <c r="T47" s="23">
        <f t="shared" si="30"/>
        <v>498733</v>
      </c>
      <c r="U47" s="23">
        <f t="shared" si="30"/>
        <v>-17066</v>
      </c>
      <c r="V47" s="23">
        <f t="shared" si="30"/>
        <v>0</v>
      </c>
      <c r="W47" s="23">
        <f t="shared" si="30"/>
        <v>-17066</v>
      </c>
      <c r="X47" s="23">
        <f t="shared" si="30"/>
        <v>3481</v>
      </c>
      <c r="Y47" s="23">
        <f t="shared" si="30"/>
        <v>0</v>
      </c>
      <c r="Z47" s="23">
        <f t="shared" si="30"/>
        <v>3481</v>
      </c>
      <c r="AA47" s="23">
        <f t="shared" si="30"/>
        <v>-7541</v>
      </c>
      <c r="AB47" s="23">
        <f t="shared" si="30"/>
        <v>0</v>
      </c>
      <c r="AC47" s="23">
        <f t="shared" si="30"/>
        <v>-7541</v>
      </c>
      <c r="AD47" s="23">
        <f t="shared" si="30"/>
        <v>0</v>
      </c>
      <c r="AE47" s="23">
        <f t="shared" si="30"/>
        <v>0</v>
      </c>
      <c r="AF47" s="23">
        <f t="shared" si="30"/>
        <v>0</v>
      </c>
      <c r="AG47" s="23">
        <f t="shared" si="30"/>
        <v>0</v>
      </c>
      <c r="AH47" s="23">
        <f t="shared" si="30"/>
        <v>0</v>
      </c>
      <c r="AI47" s="23">
        <f t="shared" si="30"/>
        <v>0</v>
      </c>
      <c r="AJ47" s="23">
        <f t="shared" si="30"/>
        <v>0</v>
      </c>
      <c r="AK47" s="23">
        <f t="shared" si="30"/>
        <v>0</v>
      </c>
      <c r="AL47" s="23">
        <f t="shared" si="30"/>
        <v>0</v>
      </c>
      <c r="AM47" s="23">
        <f t="shared" ref="AM47:AO47" si="31">SUM(AM46:AM46)</f>
        <v>0</v>
      </c>
      <c r="AN47" s="23">
        <f t="shared" si="31"/>
        <v>0</v>
      </c>
      <c r="AO47" s="23">
        <f t="shared" si="31"/>
        <v>0</v>
      </c>
    </row>
    <row r="48" spans="1:41" ht="18.95" customHeight="1" thickTop="1" x14ac:dyDescent="0.3">
      <c r="A48" s="4"/>
      <c r="B48" s="16"/>
      <c r="C48" s="28"/>
      <c r="D48" s="29"/>
      <c r="F48" s="65"/>
      <c r="G48" s="65"/>
      <c r="H48" s="65"/>
      <c r="I48" s="66"/>
      <c r="J48" s="66"/>
      <c r="K48" s="66"/>
      <c r="L48" s="65"/>
      <c r="M48" s="65"/>
      <c r="N48" s="65"/>
      <c r="O48" s="66"/>
      <c r="P48" s="66"/>
      <c r="Q48" s="66"/>
      <c r="R48" s="65"/>
      <c r="S48" s="65"/>
      <c r="T48" s="65"/>
      <c r="U48" s="66"/>
      <c r="V48" s="66"/>
      <c r="W48" s="66"/>
      <c r="X48" s="65"/>
      <c r="Y48" s="65"/>
      <c r="Z48" s="65"/>
      <c r="AA48" s="66"/>
      <c r="AB48" s="66"/>
      <c r="AC48" s="66"/>
      <c r="AD48" s="65"/>
      <c r="AE48" s="65"/>
      <c r="AF48" s="65"/>
      <c r="AG48" s="66"/>
      <c r="AH48" s="66"/>
      <c r="AI48" s="66"/>
      <c r="AJ48" s="65"/>
      <c r="AK48" s="65"/>
      <c r="AL48" s="65"/>
      <c r="AM48" s="66"/>
      <c r="AN48" s="66"/>
      <c r="AO48" s="66"/>
    </row>
    <row r="49" spans="1:41" ht="18.95" customHeight="1" x14ac:dyDescent="0.3">
      <c r="A49" s="4"/>
      <c r="B49" s="16"/>
      <c r="C49" s="28"/>
      <c r="D49" s="29"/>
      <c r="F49" s="65"/>
      <c r="G49" s="65"/>
      <c r="H49" s="65"/>
      <c r="I49" s="66"/>
      <c r="J49" s="66"/>
      <c r="K49" s="66"/>
      <c r="L49" s="65"/>
      <c r="M49" s="65"/>
      <c r="N49" s="65"/>
      <c r="O49" s="66"/>
      <c r="P49" s="66"/>
      <c r="Q49" s="66"/>
      <c r="R49" s="65"/>
      <c r="S49" s="65"/>
      <c r="T49" s="65"/>
      <c r="U49" s="66"/>
      <c r="V49" s="66"/>
      <c r="W49" s="66"/>
      <c r="X49" s="65"/>
      <c r="Y49" s="65"/>
      <c r="Z49" s="65"/>
      <c r="AA49" s="66"/>
      <c r="AB49" s="66"/>
      <c r="AC49" s="66"/>
      <c r="AD49" s="65"/>
      <c r="AE49" s="65"/>
      <c r="AF49" s="65"/>
      <c r="AG49" s="66"/>
      <c r="AH49" s="66"/>
      <c r="AI49" s="66"/>
      <c r="AJ49" s="65"/>
      <c r="AK49" s="65"/>
      <c r="AL49" s="65"/>
      <c r="AM49" s="66"/>
      <c r="AN49" s="66"/>
      <c r="AO49" s="66"/>
    </row>
    <row r="50" spans="1:41" ht="30" customHeight="1" x14ac:dyDescent="0.4">
      <c r="A50" s="1" t="str">
        <f>A1</f>
        <v>Otta Idrettslag - med undergrupper</v>
      </c>
      <c r="B50" s="16"/>
      <c r="C50" s="28"/>
      <c r="D50" s="29"/>
      <c r="F50" s="65"/>
      <c r="G50" s="65"/>
      <c r="H50" s="65"/>
      <c r="I50" s="66"/>
      <c r="J50" s="66"/>
      <c r="K50" s="66"/>
      <c r="L50" s="65"/>
      <c r="M50" s="65"/>
      <c r="N50" s="65"/>
      <c r="O50" s="66"/>
      <c r="P50" s="66"/>
      <c r="Q50" s="66"/>
      <c r="R50" s="65"/>
      <c r="S50" s="65"/>
      <c r="T50" s="65"/>
      <c r="U50" s="66"/>
      <c r="V50" s="66"/>
      <c r="W50" s="66"/>
      <c r="X50" s="65"/>
      <c r="Y50" s="65"/>
      <c r="Z50" s="65"/>
      <c r="AA50" s="66"/>
      <c r="AB50" s="66"/>
      <c r="AC50" s="66"/>
      <c r="AD50" s="65"/>
      <c r="AE50" s="65"/>
      <c r="AF50" s="65"/>
      <c r="AG50" s="66"/>
      <c r="AH50" s="66"/>
      <c r="AI50" s="66"/>
      <c r="AJ50" s="65"/>
      <c r="AK50" s="65"/>
      <c r="AL50" s="65"/>
      <c r="AM50" s="66"/>
      <c r="AN50" s="66"/>
      <c r="AO50" s="66"/>
    </row>
    <row r="51" spans="1:41" x14ac:dyDescent="0.2">
      <c r="A51" s="15"/>
      <c r="B51" s="96"/>
      <c r="C51" s="14"/>
      <c r="D51" s="14"/>
      <c r="F51" s="65"/>
      <c r="G51" s="65"/>
      <c r="H51" s="65"/>
      <c r="I51" s="66"/>
      <c r="J51" s="66"/>
      <c r="K51" s="66"/>
      <c r="L51" s="65"/>
      <c r="M51" s="65"/>
      <c r="N51" s="65"/>
      <c r="O51" s="66"/>
      <c r="P51" s="66"/>
      <c r="Q51" s="66"/>
      <c r="R51" s="65"/>
      <c r="S51" s="65"/>
      <c r="T51" s="65"/>
      <c r="U51" s="66"/>
      <c r="V51" s="66"/>
      <c r="W51" s="66"/>
      <c r="X51" s="65"/>
      <c r="Y51" s="65"/>
      <c r="Z51" s="65"/>
      <c r="AA51" s="66"/>
      <c r="AB51" s="66"/>
      <c r="AC51" s="66"/>
      <c r="AD51" s="65"/>
      <c r="AE51" s="65"/>
      <c r="AF51" s="65"/>
      <c r="AG51" s="66"/>
      <c r="AH51" s="66"/>
      <c r="AI51" s="66"/>
      <c r="AJ51" s="65"/>
      <c r="AK51" s="65"/>
      <c r="AL51" s="65"/>
      <c r="AM51" s="66"/>
      <c r="AN51" s="66"/>
      <c r="AO51" s="66"/>
    </row>
    <row r="52" spans="1:41" x14ac:dyDescent="0.2">
      <c r="A52" s="4" t="s">
        <v>16</v>
      </c>
      <c r="B52" s="96"/>
      <c r="C52" s="30"/>
      <c r="D52" s="30"/>
      <c r="F52" s="65"/>
      <c r="G52" s="65"/>
      <c r="H52" s="65"/>
      <c r="I52" s="66"/>
      <c r="J52" s="66"/>
      <c r="K52" s="66"/>
      <c r="L52" s="65"/>
      <c r="M52" s="65"/>
      <c r="N52" s="65"/>
      <c r="O52" s="66"/>
      <c r="P52" s="66"/>
      <c r="Q52" s="66"/>
      <c r="R52" s="65"/>
      <c r="S52" s="65"/>
      <c r="T52" s="65"/>
      <c r="U52" s="66"/>
      <c r="V52" s="66"/>
      <c r="W52" s="66"/>
      <c r="X52" s="65"/>
      <c r="Y52" s="65"/>
      <c r="Z52" s="65"/>
      <c r="AA52" s="66"/>
      <c r="AB52" s="66"/>
      <c r="AC52" s="66"/>
      <c r="AD52" s="65"/>
      <c r="AE52" s="65"/>
      <c r="AF52" s="65"/>
      <c r="AG52" s="66"/>
      <c r="AH52" s="66"/>
      <c r="AI52" s="66"/>
      <c r="AJ52" s="65"/>
      <c r="AK52" s="65"/>
      <c r="AL52" s="65"/>
      <c r="AM52" s="66"/>
      <c r="AN52" s="66"/>
      <c r="AO52" s="66"/>
    </row>
    <row r="53" spans="1:41" x14ac:dyDescent="0.2">
      <c r="A53" s="31"/>
      <c r="B53" s="32"/>
      <c r="C53" s="33">
        <f>C4</f>
        <v>2012</v>
      </c>
      <c r="D53" s="34"/>
      <c r="F53" s="65"/>
      <c r="G53" s="65"/>
      <c r="H53" s="65"/>
      <c r="I53" s="66"/>
      <c r="J53" s="66"/>
      <c r="K53" s="66"/>
      <c r="L53" s="65"/>
      <c r="M53" s="65"/>
      <c r="N53" s="65"/>
      <c r="O53" s="66"/>
      <c r="P53" s="66"/>
      <c r="Q53" s="66"/>
      <c r="R53" s="65"/>
      <c r="S53" s="65"/>
      <c r="T53" s="65"/>
      <c r="U53" s="66"/>
      <c r="V53" s="66"/>
      <c r="W53" s="66"/>
      <c r="X53" s="65"/>
      <c r="Y53" s="65"/>
      <c r="Z53" s="65"/>
      <c r="AA53" s="66"/>
      <c r="AB53" s="66"/>
      <c r="AC53" s="66"/>
      <c r="AD53" s="65"/>
      <c r="AE53" s="65"/>
      <c r="AF53" s="65"/>
      <c r="AG53" s="66"/>
      <c r="AH53" s="66"/>
      <c r="AI53" s="66"/>
      <c r="AJ53" s="65"/>
      <c r="AK53" s="65"/>
      <c r="AL53" s="65"/>
      <c r="AM53" s="66"/>
      <c r="AN53" s="66"/>
      <c r="AO53" s="66"/>
    </row>
    <row r="54" spans="1:41" ht="15.75" x14ac:dyDescent="0.25">
      <c r="A54" s="35" t="s">
        <v>17</v>
      </c>
      <c r="B54" s="36" t="s">
        <v>4</v>
      </c>
      <c r="C54" s="37"/>
      <c r="D54" s="38"/>
      <c r="F54" s="65"/>
      <c r="G54" s="65"/>
      <c r="H54" s="65"/>
      <c r="I54" s="66"/>
      <c r="J54" s="66"/>
      <c r="K54" s="66"/>
      <c r="L54" s="65"/>
      <c r="M54" s="65"/>
      <c r="N54" s="65"/>
      <c r="O54" s="66"/>
      <c r="P54" s="66"/>
      <c r="Q54" s="66"/>
      <c r="R54" s="65"/>
      <c r="S54" s="65"/>
      <c r="T54" s="65"/>
      <c r="U54" s="66"/>
      <c r="V54" s="66"/>
      <c r="W54" s="66"/>
      <c r="X54" s="65"/>
      <c r="Y54" s="65"/>
      <c r="Z54" s="65"/>
      <c r="AA54" s="66"/>
      <c r="AB54" s="66"/>
      <c r="AC54" s="66"/>
      <c r="AD54" s="65"/>
      <c r="AE54" s="65"/>
      <c r="AF54" s="65"/>
      <c r="AG54" s="66"/>
      <c r="AH54" s="66"/>
      <c r="AI54" s="66"/>
      <c r="AJ54" s="65"/>
      <c r="AK54" s="65"/>
      <c r="AL54" s="65"/>
      <c r="AM54" s="66"/>
      <c r="AN54" s="66"/>
      <c r="AO54" s="66"/>
    </row>
    <row r="55" spans="1:41" ht="19.5" customHeight="1" x14ac:dyDescent="0.25">
      <c r="A55" s="39"/>
      <c r="B55" s="40"/>
      <c r="C55" s="41"/>
      <c r="D55" s="38"/>
      <c r="F55" s="65"/>
      <c r="G55" s="65"/>
      <c r="H55" s="65"/>
      <c r="I55" s="66"/>
      <c r="J55" s="66"/>
      <c r="K55" s="66"/>
      <c r="L55" s="65"/>
      <c r="M55" s="65"/>
      <c r="N55" s="65"/>
      <c r="O55" s="66"/>
      <c r="P55" s="66"/>
      <c r="Q55" s="66"/>
      <c r="R55" s="65"/>
      <c r="S55" s="65"/>
      <c r="T55" s="65"/>
      <c r="U55" s="66"/>
      <c r="V55" s="66"/>
      <c r="W55" s="66"/>
      <c r="X55" s="65"/>
      <c r="Y55" s="65"/>
      <c r="Z55" s="65"/>
      <c r="AA55" s="66"/>
      <c r="AB55" s="66"/>
      <c r="AC55" s="66"/>
      <c r="AD55" s="65"/>
      <c r="AE55" s="65"/>
      <c r="AF55" s="65"/>
      <c r="AG55" s="66"/>
      <c r="AH55" s="66"/>
      <c r="AI55" s="66"/>
      <c r="AJ55" s="65"/>
      <c r="AK55" s="65"/>
      <c r="AL55" s="65"/>
      <c r="AM55" s="66"/>
      <c r="AN55" s="66"/>
      <c r="AO55" s="66"/>
    </row>
    <row r="56" spans="1:41" ht="15.75" x14ac:dyDescent="0.25">
      <c r="A56" s="4" t="s">
        <v>18</v>
      </c>
      <c r="B56" s="16"/>
      <c r="C56" s="41"/>
      <c r="D56" s="42"/>
      <c r="F56" s="65"/>
      <c r="G56" s="65"/>
      <c r="H56" s="65"/>
      <c r="I56" s="66"/>
      <c r="J56" s="66"/>
      <c r="K56" s="66"/>
      <c r="L56" s="65"/>
      <c r="M56" s="65"/>
      <c r="N56" s="65"/>
      <c r="O56" s="66"/>
      <c r="P56" s="66"/>
      <c r="Q56" s="66"/>
      <c r="R56" s="65"/>
      <c r="S56" s="65"/>
      <c r="T56" s="65"/>
      <c r="U56" s="66"/>
      <c r="V56" s="66"/>
      <c r="W56" s="66"/>
      <c r="X56" s="65"/>
      <c r="Y56" s="65"/>
      <c r="Z56" s="65"/>
      <c r="AA56" s="66"/>
      <c r="AB56" s="66"/>
      <c r="AC56" s="66"/>
      <c r="AD56" s="65"/>
      <c r="AE56" s="65"/>
      <c r="AF56" s="65"/>
      <c r="AG56" s="66"/>
      <c r="AH56" s="66"/>
      <c r="AI56" s="66"/>
      <c r="AJ56" s="65"/>
      <c r="AK56" s="65"/>
      <c r="AL56" s="65"/>
      <c r="AM56" s="66"/>
      <c r="AN56" s="66"/>
      <c r="AO56" s="66"/>
    </row>
    <row r="57" spans="1:41" ht="14.1" customHeight="1" x14ac:dyDescent="0.3">
      <c r="A57" s="15"/>
      <c r="B57" s="16"/>
      <c r="C57" s="41"/>
      <c r="D57" s="28"/>
      <c r="F57" s="65"/>
      <c r="G57" s="65"/>
      <c r="H57" s="65"/>
      <c r="I57" s="66"/>
      <c r="J57" s="66"/>
      <c r="K57" s="66"/>
      <c r="L57" s="65"/>
      <c r="M57" s="65"/>
      <c r="N57" s="65"/>
      <c r="O57" s="66"/>
      <c r="P57" s="66"/>
      <c r="Q57" s="66"/>
      <c r="R57" s="65"/>
      <c r="S57" s="65"/>
      <c r="T57" s="65"/>
      <c r="U57" s="66"/>
      <c r="V57" s="66"/>
      <c r="W57" s="66"/>
      <c r="X57" s="65"/>
      <c r="Y57" s="65"/>
      <c r="Z57" s="65"/>
      <c r="AA57" s="66"/>
      <c r="AB57" s="66"/>
      <c r="AC57" s="66"/>
      <c r="AD57" s="65"/>
      <c r="AE57" s="65"/>
      <c r="AF57" s="65"/>
      <c r="AG57" s="66"/>
      <c r="AH57" s="66"/>
      <c r="AI57" s="66"/>
      <c r="AJ57" s="65"/>
      <c r="AK57" s="65"/>
      <c r="AL57" s="65"/>
      <c r="AM57" s="66"/>
      <c r="AN57" s="66"/>
      <c r="AO57" s="66"/>
    </row>
    <row r="58" spans="1:41" ht="15.75" x14ac:dyDescent="0.25">
      <c r="A58" s="70" t="s">
        <v>70</v>
      </c>
      <c r="B58" s="16"/>
      <c r="C58" s="41"/>
      <c r="D58" s="42"/>
      <c r="F58" s="65"/>
      <c r="G58" s="65"/>
      <c r="H58" s="65"/>
      <c r="I58" s="66"/>
      <c r="J58" s="66"/>
      <c r="K58" s="66"/>
      <c r="L58" s="65"/>
      <c r="M58" s="65"/>
      <c r="N58" s="65"/>
      <c r="O58" s="66"/>
      <c r="P58" s="66"/>
      <c r="Q58" s="66"/>
      <c r="R58" s="65"/>
      <c r="S58" s="65"/>
      <c r="T58" s="65"/>
      <c r="U58" s="66"/>
      <c r="V58" s="66"/>
      <c r="W58" s="66"/>
      <c r="X58" s="65"/>
      <c r="Y58" s="65"/>
      <c r="Z58" s="65"/>
      <c r="AA58" s="66"/>
      <c r="AB58" s="66"/>
      <c r="AC58" s="66"/>
      <c r="AD58" s="65"/>
      <c r="AE58" s="65"/>
      <c r="AF58" s="65"/>
      <c r="AG58" s="66"/>
      <c r="AH58" s="66"/>
      <c r="AI58" s="66"/>
      <c r="AJ58" s="65"/>
      <c r="AK58" s="65"/>
      <c r="AL58" s="65"/>
      <c r="AM58" s="66"/>
      <c r="AN58" s="66"/>
      <c r="AO58" s="66"/>
    </row>
    <row r="59" spans="1:41" ht="15.75" x14ac:dyDescent="0.25">
      <c r="A59" s="68" t="s">
        <v>66</v>
      </c>
      <c r="B59" s="16"/>
      <c r="C59" s="14">
        <f>H59+K59+N59+Q59+T59+W59+Z59+AC59+AF59+AI59+AL59+AO59</f>
        <v>1777600</v>
      </c>
      <c r="D59" s="42"/>
      <c r="F59" s="65">
        <v>1777600</v>
      </c>
      <c r="G59" s="65"/>
      <c r="H59" s="65">
        <f t="shared" ref="H59:H95" si="32">F59+G59</f>
        <v>1777600</v>
      </c>
      <c r="I59" s="66">
        <v>0</v>
      </c>
      <c r="J59" s="66"/>
      <c r="K59" s="66">
        <f t="shared" ref="K59:K95" si="33">I59+J59</f>
        <v>0</v>
      </c>
      <c r="L59" s="65">
        <v>0</v>
      </c>
      <c r="M59" s="65"/>
      <c r="N59" s="65">
        <f t="shared" ref="N59:N95" si="34">L59+M59</f>
        <v>0</v>
      </c>
      <c r="O59" s="66">
        <v>0</v>
      </c>
      <c r="P59" s="66"/>
      <c r="Q59" s="66">
        <f t="shared" ref="Q59:Q95" si="35">O59+P59</f>
        <v>0</v>
      </c>
      <c r="R59" s="65">
        <v>0</v>
      </c>
      <c r="S59" s="65"/>
      <c r="T59" s="65">
        <f t="shared" ref="T59:T95" si="36">R59+S59</f>
        <v>0</v>
      </c>
      <c r="U59" s="66"/>
      <c r="V59" s="66"/>
      <c r="W59" s="66">
        <f t="shared" ref="W59:W95" si="37">U59+V59</f>
        <v>0</v>
      </c>
      <c r="X59" s="65"/>
      <c r="Y59" s="65"/>
      <c r="Z59" s="65">
        <f t="shared" ref="Z59:Z95" si="38">X59+Y59</f>
        <v>0</v>
      </c>
      <c r="AA59" s="66"/>
      <c r="AB59" s="66"/>
      <c r="AC59" s="66">
        <f t="shared" ref="AC59:AC95" si="39">AA59+AB59</f>
        <v>0</v>
      </c>
      <c r="AD59" s="65"/>
      <c r="AE59" s="65"/>
      <c r="AF59" s="65">
        <f t="shared" ref="AF59:AF95" si="40">AD59+AE59</f>
        <v>0</v>
      </c>
      <c r="AG59" s="66"/>
      <c r="AH59" s="66"/>
      <c r="AI59" s="66">
        <f t="shared" ref="AI59:AI95" si="41">AG59+AH59</f>
        <v>0</v>
      </c>
      <c r="AJ59" s="65"/>
      <c r="AK59" s="65"/>
      <c r="AL59" s="65">
        <f t="shared" ref="AL59:AL95" si="42">AJ59+AK59</f>
        <v>0</v>
      </c>
      <c r="AM59" s="66"/>
      <c r="AN59" s="66"/>
      <c r="AO59" s="66">
        <f t="shared" ref="AO59:AO60" si="43">AM59+AN59</f>
        <v>0</v>
      </c>
    </row>
    <row r="60" spans="1:41" ht="17.25" x14ac:dyDescent="0.3">
      <c r="A60" s="68" t="s">
        <v>67</v>
      </c>
      <c r="B60" s="16"/>
      <c r="C60" s="14">
        <f>H60+K60+N60+Q60+T60+W60+Z60+AC60+AF60+AI60+AL60+AO60</f>
        <v>5400</v>
      </c>
      <c r="D60" s="24"/>
      <c r="F60" s="65"/>
      <c r="G60" s="65"/>
      <c r="H60" s="65">
        <f t="shared" si="32"/>
        <v>0</v>
      </c>
      <c r="I60" s="66">
        <v>0</v>
      </c>
      <c r="J60" s="66"/>
      <c r="K60" s="66">
        <f t="shared" si="33"/>
        <v>0</v>
      </c>
      <c r="L60" s="65">
        <v>0</v>
      </c>
      <c r="M60" s="65"/>
      <c r="N60" s="65">
        <f t="shared" si="34"/>
        <v>0</v>
      </c>
      <c r="O60" s="66">
        <v>5400</v>
      </c>
      <c r="P60" s="66"/>
      <c r="Q60" s="66">
        <f t="shared" si="35"/>
        <v>5400</v>
      </c>
      <c r="R60" s="65">
        <v>0</v>
      </c>
      <c r="S60" s="65"/>
      <c r="T60" s="65">
        <f t="shared" si="36"/>
        <v>0</v>
      </c>
      <c r="U60" s="66"/>
      <c r="V60" s="66"/>
      <c r="W60" s="66">
        <f t="shared" si="37"/>
        <v>0</v>
      </c>
      <c r="X60" s="65"/>
      <c r="Y60" s="65"/>
      <c r="Z60" s="65">
        <f t="shared" si="38"/>
        <v>0</v>
      </c>
      <c r="AA60" s="66"/>
      <c r="AB60" s="66"/>
      <c r="AC60" s="66">
        <f t="shared" si="39"/>
        <v>0</v>
      </c>
      <c r="AD60" s="65"/>
      <c r="AE60" s="65"/>
      <c r="AF60" s="65">
        <f t="shared" si="40"/>
        <v>0</v>
      </c>
      <c r="AG60" s="66"/>
      <c r="AH60" s="66"/>
      <c r="AI60" s="66">
        <f t="shared" si="41"/>
        <v>0</v>
      </c>
      <c r="AJ60" s="65"/>
      <c r="AK60" s="65"/>
      <c r="AL60" s="65">
        <f t="shared" si="42"/>
        <v>0</v>
      </c>
      <c r="AM60" s="66"/>
      <c r="AN60" s="66"/>
      <c r="AO60" s="66">
        <f t="shared" si="43"/>
        <v>0</v>
      </c>
    </row>
    <row r="61" spans="1:41" ht="17.25" x14ac:dyDescent="0.3">
      <c r="A61" s="4" t="s">
        <v>19</v>
      </c>
      <c r="B61" s="16"/>
      <c r="C61" s="17">
        <f>SUM(C59:C60)</f>
        <v>1783000</v>
      </c>
      <c r="D61" s="28"/>
      <c r="F61" s="17">
        <f>SUM(F59:F60)</f>
        <v>1777600</v>
      </c>
      <c r="G61" s="17">
        <f t="shared" ref="G61:AL61" si="44">SUM(G59:G60)</f>
        <v>0</v>
      </c>
      <c r="H61" s="17">
        <f t="shared" si="44"/>
        <v>1777600</v>
      </c>
      <c r="I61" s="17">
        <f t="shared" si="44"/>
        <v>0</v>
      </c>
      <c r="J61" s="17">
        <f t="shared" si="44"/>
        <v>0</v>
      </c>
      <c r="K61" s="17">
        <f t="shared" si="44"/>
        <v>0</v>
      </c>
      <c r="L61" s="17">
        <f t="shared" si="44"/>
        <v>0</v>
      </c>
      <c r="M61" s="17">
        <f t="shared" si="44"/>
        <v>0</v>
      </c>
      <c r="N61" s="17">
        <f t="shared" si="44"/>
        <v>0</v>
      </c>
      <c r="O61" s="17">
        <f t="shared" si="44"/>
        <v>5400</v>
      </c>
      <c r="P61" s="17">
        <f t="shared" si="44"/>
        <v>0</v>
      </c>
      <c r="Q61" s="17">
        <f t="shared" si="44"/>
        <v>5400</v>
      </c>
      <c r="R61" s="17">
        <f t="shared" si="44"/>
        <v>0</v>
      </c>
      <c r="S61" s="17">
        <f t="shared" si="44"/>
        <v>0</v>
      </c>
      <c r="T61" s="17">
        <f t="shared" si="44"/>
        <v>0</v>
      </c>
      <c r="U61" s="17">
        <f t="shared" si="44"/>
        <v>0</v>
      </c>
      <c r="V61" s="17">
        <f t="shared" si="44"/>
        <v>0</v>
      </c>
      <c r="W61" s="17">
        <f t="shared" si="44"/>
        <v>0</v>
      </c>
      <c r="X61" s="17">
        <f t="shared" si="44"/>
        <v>0</v>
      </c>
      <c r="Y61" s="17">
        <f t="shared" si="44"/>
        <v>0</v>
      </c>
      <c r="Z61" s="17">
        <f t="shared" si="44"/>
        <v>0</v>
      </c>
      <c r="AA61" s="17">
        <f t="shared" si="44"/>
        <v>0</v>
      </c>
      <c r="AB61" s="17">
        <f t="shared" si="44"/>
        <v>0</v>
      </c>
      <c r="AC61" s="17">
        <f t="shared" si="44"/>
        <v>0</v>
      </c>
      <c r="AD61" s="17">
        <f t="shared" si="44"/>
        <v>0</v>
      </c>
      <c r="AE61" s="17">
        <f t="shared" si="44"/>
        <v>0</v>
      </c>
      <c r="AF61" s="17">
        <f t="shared" si="44"/>
        <v>0</v>
      </c>
      <c r="AG61" s="17">
        <f t="shared" si="44"/>
        <v>0</v>
      </c>
      <c r="AH61" s="17">
        <f t="shared" si="44"/>
        <v>0</v>
      </c>
      <c r="AI61" s="17">
        <f t="shared" si="44"/>
        <v>0</v>
      </c>
      <c r="AJ61" s="17">
        <f t="shared" si="44"/>
        <v>0</v>
      </c>
      <c r="AK61" s="17">
        <f t="shared" si="44"/>
        <v>0</v>
      </c>
      <c r="AL61" s="17">
        <f t="shared" si="44"/>
        <v>0</v>
      </c>
      <c r="AM61" s="17">
        <f t="shared" ref="AM61:AO61" si="45">SUM(AM59:AM60)</f>
        <v>0</v>
      </c>
      <c r="AN61" s="17">
        <f t="shared" si="45"/>
        <v>0</v>
      </c>
      <c r="AO61" s="17">
        <f t="shared" si="45"/>
        <v>0</v>
      </c>
    </row>
    <row r="62" spans="1:41" ht="17.25" x14ac:dyDescent="0.3">
      <c r="A62" s="4"/>
      <c r="B62" s="16"/>
      <c r="C62" s="19"/>
      <c r="D62" s="28"/>
      <c r="F62" s="65"/>
      <c r="G62" s="65"/>
      <c r="H62" s="65"/>
      <c r="I62" s="66"/>
      <c r="J62" s="66"/>
      <c r="K62" s="66"/>
      <c r="L62" s="65"/>
      <c r="M62" s="65"/>
      <c r="N62" s="65"/>
      <c r="O62" s="66"/>
      <c r="P62" s="66"/>
      <c r="Q62" s="66"/>
      <c r="R62" s="65"/>
      <c r="S62" s="65"/>
      <c r="T62" s="65"/>
      <c r="U62" s="66"/>
      <c r="V62" s="66"/>
      <c r="W62" s="66"/>
      <c r="X62" s="65"/>
      <c r="Y62" s="65"/>
      <c r="Z62" s="65"/>
      <c r="AA62" s="66"/>
      <c r="AB62" s="66"/>
      <c r="AC62" s="66"/>
      <c r="AD62" s="65"/>
      <c r="AE62" s="65"/>
      <c r="AF62" s="65"/>
      <c r="AG62" s="66"/>
      <c r="AH62" s="66"/>
      <c r="AI62" s="66"/>
      <c r="AJ62" s="65"/>
      <c r="AK62" s="65"/>
      <c r="AL62" s="65"/>
      <c r="AM62" s="66"/>
      <c r="AN62" s="66"/>
      <c r="AO62" s="66"/>
    </row>
    <row r="63" spans="1:41" ht="17.25" x14ac:dyDescent="0.3">
      <c r="A63" s="70" t="s">
        <v>71</v>
      </c>
      <c r="B63" s="16"/>
      <c r="C63" s="19"/>
      <c r="D63" s="28"/>
      <c r="F63" s="65"/>
      <c r="G63" s="65"/>
      <c r="H63" s="65"/>
      <c r="I63" s="66"/>
      <c r="J63" s="66"/>
      <c r="K63" s="66"/>
      <c r="L63" s="65"/>
      <c r="M63" s="65"/>
      <c r="N63" s="65"/>
      <c r="O63" s="66"/>
      <c r="P63" s="66"/>
      <c r="Q63" s="66"/>
      <c r="R63" s="65"/>
      <c r="S63" s="65"/>
      <c r="T63" s="65"/>
      <c r="U63" s="66"/>
      <c r="V63" s="66"/>
      <c r="W63" s="66"/>
      <c r="X63" s="65"/>
      <c r="Y63" s="65"/>
      <c r="Z63" s="65"/>
      <c r="AA63" s="66"/>
      <c r="AB63" s="66"/>
      <c r="AC63" s="66"/>
      <c r="AD63" s="65"/>
      <c r="AE63" s="65"/>
      <c r="AF63" s="65"/>
      <c r="AG63" s="66"/>
      <c r="AH63" s="66"/>
      <c r="AI63" s="66"/>
      <c r="AJ63" s="65"/>
      <c r="AK63" s="65"/>
      <c r="AL63" s="65"/>
      <c r="AM63" s="66"/>
      <c r="AN63" s="66"/>
      <c r="AO63" s="66"/>
    </row>
    <row r="64" spans="1:41" ht="17.25" x14ac:dyDescent="0.3">
      <c r="A64" s="68" t="s">
        <v>72</v>
      </c>
      <c r="B64" s="16"/>
      <c r="C64" s="14">
        <f>H64+K64+N64+Q64+T64+W64+Z64+AC64+AF64+AI64+AL64+AO64</f>
        <v>0</v>
      </c>
      <c r="D64" s="28"/>
      <c r="F64" s="65">
        <v>0</v>
      </c>
      <c r="G64" s="65"/>
      <c r="H64" s="65">
        <f t="shared" si="32"/>
        <v>0</v>
      </c>
      <c r="I64" s="66">
        <v>0</v>
      </c>
      <c r="J64" s="66"/>
      <c r="K64" s="66"/>
      <c r="L64" s="65">
        <v>0</v>
      </c>
      <c r="M64" s="65"/>
      <c r="N64" s="65"/>
      <c r="O64" s="66">
        <v>0</v>
      </c>
      <c r="P64" s="66"/>
      <c r="Q64" s="66"/>
      <c r="R64" s="65">
        <v>0</v>
      </c>
      <c r="S64" s="65"/>
      <c r="T64" s="65"/>
      <c r="U64" s="66"/>
      <c r="V64" s="66"/>
      <c r="W64" s="66"/>
      <c r="X64" s="65"/>
      <c r="Y64" s="65"/>
      <c r="Z64" s="65"/>
      <c r="AA64" s="66"/>
      <c r="AB64" s="66"/>
      <c r="AC64" s="66"/>
      <c r="AD64" s="65"/>
      <c r="AE64" s="65"/>
      <c r="AF64" s="65"/>
      <c r="AG64" s="66"/>
      <c r="AH64" s="66"/>
      <c r="AI64" s="66"/>
      <c r="AJ64" s="65"/>
      <c r="AK64" s="65"/>
      <c r="AL64" s="65"/>
      <c r="AM64" s="66"/>
      <c r="AN64" s="66"/>
      <c r="AO64" s="66"/>
    </row>
    <row r="65" spans="1:41" ht="17.25" x14ac:dyDescent="0.3">
      <c r="A65" s="71" t="s">
        <v>73</v>
      </c>
      <c r="B65" s="16"/>
      <c r="C65" s="17">
        <f>SUM(C63:C64)</f>
        <v>0</v>
      </c>
      <c r="D65" s="28"/>
      <c r="F65" s="17">
        <f>SUM(F63:F64)</f>
        <v>0</v>
      </c>
      <c r="G65" s="17">
        <f t="shared" ref="G65:AL65" si="46">SUM(G63:G64)</f>
        <v>0</v>
      </c>
      <c r="H65" s="17">
        <f t="shared" si="46"/>
        <v>0</v>
      </c>
      <c r="I65" s="17">
        <f t="shared" si="46"/>
        <v>0</v>
      </c>
      <c r="J65" s="17">
        <f t="shared" si="46"/>
        <v>0</v>
      </c>
      <c r="K65" s="17">
        <f t="shared" si="46"/>
        <v>0</v>
      </c>
      <c r="L65" s="17">
        <f t="shared" si="46"/>
        <v>0</v>
      </c>
      <c r="M65" s="17">
        <f t="shared" si="46"/>
        <v>0</v>
      </c>
      <c r="N65" s="17">
        <f t="shared" si="46"/>
        <v>0</v>
      </c>
      <c r="O65" s="17">
        <f t="shared" si="46"/>
        <v>0</v>
      </c>
      <c r="P65" s="17">
        <f t="shared" si="46"/>
        <v>0</v>
      </c>
      <c r="Q65" s="17">
        <f t="shared" si="46"/>
        <v>0</v>
      </c>
      <c r="R65" s="17">
        <f t="shared" si="46"/>
        <v>0</v>
      </c>
      <c r="S65" s="17">
        <f t="shared" si="46"/>
        <v>0</v>
      </c>
      <c r="T65" s="17">
        <f t="shared" si="46"/>
        <v>0</v>
      </c>
      <c r="U65" s="17">
        <f t="shared" si="46"/>
        <v>0</v>
      </c>
      <c r="V65" s="17">
        <f t="shared" si="46"/>
        <v>0</v>
      </c>
      <c r="W65" s="17">
        <f t="shared" si="46"/>
        <v>0</v>
      </c>
      <c r="X65" s="17">
        <f t="shared" si="46"/>
        <v>0</v>
      </c>
      <c r="Y65" s="17">
        <f t="shared" si="46"/>
        <v>0</v>
      </c>
      <c r="Z65" s="17">
        <f t="shared" si="46"/>
        <v>0</v>
      </c>
      <c r="AA65" s="17">
        <f t="shared" si="46"/>
        <v>0</v>
      </c>
      <c r="AB65" s="17">
        <f t="shared" si="46"/>
        <v>0</v>
      </c>
      <c r="AC65" s="17">
        <f t="shared" si="46"/>
        <v>0</v>
      </c>
      <c r="AD65" s="17">
        <f t="shared" si="46"/>
        <v>0</v>
      </c>
      <c r="AE65" s="17">
        <f t="shared" si="46"/>
        <v>0</v>
      </c>
      <c r="AF65" s="17">
        <f t="shared" si="46"/>
        <v>0</v>
      </c>
      <c r="AG65" s="17">
        <f t="shared" si="46"/>
        <v>0</v>
      </c>
      <c r="AH65" s="17">
        <f t="shared" si="46"/>
        <v>0</v>
      </c>
      <c r="AI65" s="17">
        <f t="shared" si="46"/>
        <v>0</v>
      </c>
      <c r="AJ65" s="17">
        <f t="shared" si="46"/>
        <v>0</v>
      </c>
      <c r="AK65" s="17">
        <f t="shared" si="46"/>
        <v>0</v>
      </c>
      <c r="AL65" s="17">
        <f t="shared" si="46"/>
        <v>0</v>
      </c>
      <c r="AM65" s="17">
        <f t="shared" ref="AM65:AO65" si="47">SUM(AM63:AM64)</f>
        <v>0</v>
      </c>
      <c r="AN65" s="17">
        <f t="shared" si="47"/>
        <v>0</v>
      </c>
      <c r="AO65" s="17">
        <f t="shared" si="47"/>
        <v>0</v>
      </c>
    </row>
    <row r="66" spans="1:41" ht="18.95" customHeight="1" x14ac:dyDescent="0.3">
      <c r="A66" s="70" t="s">
        <v>68</v>
      </c>
      <c r="B66" s="16"/>
      <c r="C66" s="17">
        <f>C61+C65</f>
        <v>1783000</v>
      </c>
      <c r="D66" s="28"/>
      <c r="F66" s="17">
        <f>F61+F65</f>
        <v>1777600</v>
      </c>
      <c r="G66" s="17">
        <f t="shared" ref="G66:AL66" si="48">G61+G65</f>
        <v>0</v>
      </c>
      <c r="H66" s="17">
        <f t="shared" si="48"/>
        <v>1777600</v>
      </c>
      <c r="I66" s="17">
        <f t="shared" si="48"/>
        <v>0</v>
      </c>
      <c r="J66" s="17">
        <f t="shared" si="48"/>
        <v>0</v>
      </c>
      <c r="K66" s="17">
        <f t="shared" si="48"/>
        <v>0</v>
      </c>
      <c r="L66" s="17">
        <f t="shared" si="48"/>
        <v>0</v>
      </c>
      <c r="M66" s="17">
        <f t="shared" si="48"/>
        <v>0</v>
      </c>
      <c r="N66" s="17">
        <f t="shared" si="48"/>
        <v>0</v>
      </c>
      <c r="O66" s="17">
        <f t="shared" si="48"/>
        <v>5400</v>
      </c>
      <c r="P66" s="17">
        <f t="shared" si="48"/>
        <v>0</v>
      </c>
      <c r="Q66" s="17">
        <f t="shared" si="48"/>
        <v>5400</v>
      </c>
      <c r="R66" s="17">
        <f t="shared" si="48"/>
        <v>0</v>
      </c>
      <c r="S66" s="17">
        <f t="shared" si="48"/>
        <v>0</v>
      </c>
      <c r="T66" s="17">
        <f t="shared" si="48"/>
        <v>0</v>
      </c>
      <c r="U66" s="17">
        <f t="shared" si="48"/>
        <v>0</v>
      </c>
      <c r="V66" s="17">
        <f t="shared" si="48"/>
        <v>0</v>
      </c>
      <c r="W66" s="17">
        <f t="shared" si="48"/>
        <v>0</v>
      </c>
      <c r="X66" s="17">
        <f t="shared" si="48"/>
        <v>0</v>
      </c>
      <c r="Y66" s="17">
        <f t="shared" si="48"/>
        <v>0</v>
      </c>
      <c r="Z66" s="17">
        <f t="shared" si="48"/>
        <v>0</v>
      </c>
      <c r="AA66" s="17">
        <f t="shared" si="48"/>
        <v>0</v>
      </c>
      <c r="AB66" s="17">
        <f t="shared" si="48"/>
        <v>0</v>
      </c>
      <c r="AC66" s="17">
        <f t="shared" si="48"/>
        <v>0</v>
      </c>
      <c r="AD66" s="17">
        <f t="shared" si="48"/>
        <v>0</v>
      </c>
      <c r="AE66" s="17">
        <f t="shared" si="48"/>
        <v>0</v>
      </c>
      <c r="AF66" s="17">
        <f t="shared" si="48"/>
        <v>0</v>
      </c>
      <c r="AG66" s="17">
        <f t="shared" si="48"/>
        <v>0</v>
      </c>
      <c r="AH66" s="17">
        <f t="shared" si="48"/>
        <v>0</v>
      </c>
      <c r="AI66" s="17">
        <f t="shared" si="48"/>
        <v>0</v>
      </c>
      <c r="AJ66" s="17">
        <f t="shared" si="48"/>
        <v>0</v>
      </c>
      <c r="AK66" s="17">
        <f t="shared" si="48"/>
        <v>0</v>
      </c>
      <c r="AL66" s="17">
        <f t="shared" si="48"/>
        <v>0</v>
      </c>
      <c r="AM66" s="17">
        <f t="shared" ref="AM66:AO66" si="49">AM61+AM65</f>
        <v>0</v>
      </c>
      <c r="AN66" s="17">
        <f t="shared" si="49"/>
        <v>0</v>
      </c>
      <c r="AO66" s="17">
        <f t="shared" si="49"/>
        <v>0</v>
      </c>
    </row>
    <row r="67" spans="1:41" ht="18.95" customHeight="1" x14ac:dyDescent="0.3">
      <c r="A67" s="15"/>
      <c r="B67" s="16"/>
      <c r="C67" s="28"/>
      <c r="D67" s="28"/>
      <c r="F67" s="65"/>
      <c r="G67" s="65"/>
      <c r="H67" s="65"/>
      <c r="I67" s="66"/>
      <c r="J67" s="66"/>
      <c r="K67" s="66"/>
      <c r="L67" s="65"/>
      <c r="M67" s="65"/>
      <c r="N67" s="65"/>
      <c r="O67" s="66"/>
      <c r="P67" s="66"/>
      <c r="Q67" s="66"/>
      <c r="R67" s="65"/>
      <c r="S67" s="65"/>
      <c r="T67" s="65"/>
      <c r="U67" s="66"/>
      <c r="V67" s="66"/>
      <c r="W67" s="66"/>
      <c r="X67" s="65"/>
      <c r="Y67" s="65"/>
      <c r="Z67" s="65"/>
      <c r="AA67" s="66"/>
      <c r="AB67" s="66"/>
      <c r="AC67" s="66"/>
      <c r="AD67" s="65"/>
      <c r="AE67" s="65"/>
      <c r="AF67" s="65"/>
      <c r="AG67" s="66"/>
      <c r="AH67" s="66"/>
      <c r="AI67" s="66"/>
      <c r="AJ67" s="65"/>
      <c r="AK67" s="65"/>
      <c r="AL67" s="65"/>
      <c r="AM67" s="66"/>
      <c r="AN67" s="66"/>
      <c r="AO67" s="66"/>
    </row>
    <row r="68" spans="1:41" ht="17.25" x14ac:dyDescent="0.3">
      <c r="A68" s="70" t="s">
        <v>74</v>
      </c>
      <c r="B68" s="16"/>
      <c r="C68" s="43"/>
      <c r="D68" s="44"/>
      <c r="F68" s="65"/>
      <c r="G68" s="65"/>
      <c r="H68" s="65"/>
      <c r="I68" s="66"/>
      <c r="J68" s="66"/>
      <c r="K68" s="66"/>
      <c r="L68" s="65"/>
      <c r="M68" s="65"/>
      <c r="N68" s="65"/>
      <c r="O68" s="66"/>
      <c r="P68" s="66"/>
      <c r="Q68" s="66"/>
      <c r="R68" s="65"/>
      <c r="S68" s="65"/>
      <c r="T68" s="65"/>
      <c r="U68" s="66"/>
      <c r="V68" s="66"/>
      <c r="W68" s="66"/>
      <c r="X68" s="65"/>
      <c r="Y68" s="65"/>
      <c r="Z68" s="65"/>
      <c r="AA68" s="66"/>
      <c r="AB68" s="66"/>
      <c r="AC68" s="66"/>
      <c r="AD68" s="65"/>
      <c r="AE68" s="65"/>
      <c r="AF68" s="65"/>
      <c r="AG68" s="66"/>
      <c r="AH68" s="66"/>
      <c r="AI68" s="66"/>
      <c r="AJ68" s="65"/>
      <c r="AK68" s="65"/>
      <c r="AL68" s="65"/>
      <c r="AM68" s="66"/>
      <c r="AN68" s="66"/>
      <c r="AO68" s="66"/>
    </row>
    <row r="69" spans="1:41" ht="17.25" x14ac:dyDescent="0.3">
      <c r="A69" s="15" t="s">
        <v>21</v>
      </c>
      <c r="B69" s="16"/>
      <c r="C69" s="14">
        <f t="shared" ref="C69" si="50">H69+K69+N69+Q69+T69+W69+Z69+AC69+AF69+AI69+AL69</f>
        <v>0</v>
      </c>
      <c r="D69" s="45"/>
      <c r="F69" s="65"/>
      <c r="G69" s="65"/>
      <c r="H69" s="65">
        <f t="shared" si="32"/>
        <v>0</v>
      </c>
      <c r="I69" s="66">
        <v>0</v>
      </c>
      <c r="J69" s="66"/>
      <c r="K69" s="66">
        <f t="shared" si="33"/>
        <v>0</v>
      </c>
      <c r="L69" s="65">
        <v>0</v>
      </c>
      <c r="M69" s="65"/>
      <c r="N69" s="65">
        <f t="shared" si="34"/>
        <v>0</v>
      </c>
      <c r="O69" s="66">
        <v>0</v>
      </c>
      <c r="P69" s="66"/>
      <c r="Q69" s="66">
        <f t="shared" si="35"/>
        <v>0</v>
      </c>
      <c r="R69" s="65">
        <v>0</v>
      </c>
      <c r="S69" s="65"/>
      <c r="T69" s="65">
        <f t="shared" si="36"/>
        <v>0</v>
      </c>
      <c r="U69" s="66"/>
      <c r="V69" s="66"/>
      <c r="W69" s="66">
        <f t="shared" si="37"/>
        <v>0</v>
      </c>
      <c r="X69" s="65"/>
      <c r="Y69" s="65"/>
      <c r="Z69" s="65">
        <f t="shared" si="38"/>
        <v>0</v>
      </c>
      <c r="AA69" s="66"/>
      <c r="AB69" s="66"/>
      <c r="AC69" s="66">
        <f t="shared" si="39"/>
        <v>0</v>
      </c>
      <c r="AD69" s="65"/>
      <c r="AE69" s="65"/>
      <c r="AF69" s="65">
        <f t="shared" si="40"/>
        <v>0</v>
      </c>
      <c r="AG69" s="66"/>
      <c r="AH69" s="66"/>
      <c r="AI69" s="66">
        <f t="shared" si="41"/>
        <v>0</v>
      </c>
      <c r="AJ69" s="65"/>
      <c r="AK69" s="65"/>
      <c r="AL69" s="65">
        <f t="shared" si="42"/>
        <v>0</v>
      </c>
      <c r="AM69" s="66"/>
      <c r="AN69" s="66"/>
      <c r="AO69" s="66">
        <f t="shared" ref="AO69:AO72" si="51">AM69+AN69</f>
        <v>0</v>
      </c>
    </row>
    <row r="70" spans="1:41" ht="17.25" x14ac:dyDescent="0.3">
      <c r="A70" s="15" t="s">
        <v>22</v>
      </c>
      <c r="B70" s="16"/>
      <c r="C70" s="14">
        <f>H70+K70+N70+Q70+T70+W70+Z70+AC70+AF70+AI70+AL70+AO70</f>
        <v>115155</v>
      </c>
      <c r="D70" s="24"/>
      <c r="F70" s="65">
        <v>29800</v>
      </c>
      <c r="G70" s="65"/>
      <c r="H70" s="65">
        <f t="shared" si="32"/>
        <v>29800</v>
      </c>
      <c r="I70" s="66">
        <v>78755</v>
      </c>
      <c r="J70" s="66"/>
      <c r="K70" s="66">
        <f t="shared" si="33"/>
        <v>78755</v>
      </c>
      <c r="L70" s="65">
        <v>0</v>
      </c>
      <c r="M70" s="65"/>
      <c r="N70" s="65">
        <f t="shared" si="34"/>
        <v>0</v>
      </c>
      <c r="O70" s="66">
        <v>0</v>
      </c>
      <c r="P70" s="66"/>
      <c r="Q70" s="66">
        <f t="shared" si="35"/>
        <v>0</v>
      </c>
      <c r="R70" s="65">
        <v>0</v>
      </c>
      <c r="S70" s="65"/>
      <c r="T70" s="65">
        <f t="shared" si="36"/>
        <v>0</v>
      </c>
      <c r="U70" s="66">
        <v>3000</v>
      </c>
      <c r="V70" s="66"/>
      <c r="W70" s="66">
        <f t="shared" si="37"/>
        <v>3000</v>
      </c>
      <c r="X70" s="65"/>
      <c r="Y70" s="65"/>
      <c r="Z70" s="65">
        <f t="shared" si="38"/>
        <v>0</v>
      </c>
      <c r="AA70" s="66">
        <v>3600</v>
      </c>
      <c r="AB70" s="66"/>
      <c r="AC70" s="66">
        <f t="shared" si="39"/>
        <v>3600</v>
      </c>
      <c r="AD70" s="65"/>
      <c r="AE70" s="65"/>
      <c r="AF70" s="65">
        <f t="shared" si="40"/>
        <v>0</v>
      </c>
      <c r="AG70" s="66"/>
      <c r="AH70" s="66"/>
      <c r="AI70" s="66">
        <f t="shared" si="41"/>
        <v>0</v>
      </c>
      <c r="AJ70" s="65"/>
      <c r="AK70" s="65"/>
      <c r="AL70" s="65">
        <f t="shared" si="42"/>
        <v>0</v>
      </c>
      <c r="AM70" s="66"/>
      <c r="AN70" s="66"/>
      <c r="AO70" s="66">
        <f t="shared" si="51"/>
        <v>0</v>
      </c>
    </row>
    <row r="71" spans="1:41" ht="17.25" x14ac:dyDescent="0.3">
      <c r="A71" s="15" t="s">
        <v>23</v>
      </c>
      <c r="B71" s="16"/>
      <c r="C71" s="14">
        <f>H71+K71+N71+Q71+T71+W71+Z71+AC71+AF71+AI71+AL71+AO71</f>
        <v>23083</v>
      </c>
      <c r="D71" s="24"/>
      <c r="F71" s="65">
        <v>96007</v>
      </c>
      <c r="G71" s="120">
        <f>-(2220+27967+6890+11675+25121+23634)</f>
        <v>-97507</v>
      </c>
      <c r="H71" s="65">
        <f t="shared" si="32"/>
        <v>-1500</v>
      </c>
      <c r="I71" s="66">
        <v>0</v>
      </c>
      <c r="J71" s="66"/>
      <c r="K71" s="66">
        <f t="shared" si="33"/>
        <v>0</v>
      </c>
      <c r="L71" s="65"/>
      <c r="M71" s="65"/>
      <c r="N71" s="65">
        <f t="shared" si="34"/>
        <v>0</v>
      </c>
      <c r="O71" s="66">
        <v>24583</v>
      </c>
      <c r="P71" s="66"/>
      <c r="Q71" s="66">
        <f t="shared" si="35"/>
        <v>24583</v>
      </c>
      <c r="R71" s="65">
        <v>81472</v>
      </c>
      <c r="S71" s="120">
        <v>-81472</v>
      </c>
      <c r="T71" s="65">
        <f t="shared" si="36"/>
        <v>0</v>
      </c>
      <c r="U71" s="66"/>
      <c r="V71" s="66"/>
      <c r="W71" s="66">
        <f t="shared" si="37"/>
        <v>0</v>
      </c>
      <c r="X71" s="65"/>
      <c r="Y71" s="65"/>
      <c r="Z71" s="65">
        <f t="shared" si="38"/>
        <v>0</v>
      </c>
      <c r="AA71" s="66"/>
      <c r="AB71" s="66"/>
      <c r="AC71" s="66">
        <f t="shared" si="39"/>
        <v>0</v>
      </c>
      <c r="AD71" s="65"/>
      <c r="AE71" s="65"/>
      <c r="AF71" s="65">
        <f t="shared" si="40"/>
        <v>0</v>
      </c>
      <c r="AG71" s="66"/>
      <c r="AH71" s="66"/>
      <c r="AI71" s="66">
        <f t="shared" si="41"/>
        <v>0</v>
      </c>
      <c r="AJ71" s="65"/>
      <c r="AK71" s="65"/>
      <c r="AL71" s="65">
        <f t="shared" si="42"/>
        <v>0</v>
      </c>
      <c r="AM71" s="66"/>
      <c r="AN71" s="66"/>
      <c r="AO71" s="66">
        <f t="shared" si="51"/>
        <v>0</v>
      </c>
    </row>
    <row r="72" spans="1:41" ht="17.25" x14ac:dyDescent="0.3">
      <c r="A72" s="15" t="s">
        <v>24</v>
      </c>
      <c r="B72" s="16"/>
      <c r="C72" s="14">
        <f>H72+K72+N72+Q72+T72+W72+Z72+AC72+AF72+AI72+AL72+AO72</f>
        <v>856417</v>
      </c>
      <c r="D72" s="24"/>
      <c r="F72" s="65">
        <v>24008</v>
      </c>
      <c r="G72" s="65"/>
      <c r="H72" s="65">
        <f t="shared" si="32"/>
        <v>24008</v>
      </c>
      <c r="I72" s="66">
        <v>274499</v>
      </c>
      <c r="J72" s="66"/>
      <c r="K72" s="66">
        <f t="shared" si="33"/>
        <v>274499</v>
      </c>
      <c r="L72" s="65">
        <v>31343</v>
      </c>
      <c r="M72" s="65"/>
      <c r="N72" s="65">
        <f t="shared" si="34"/>
        <v>31343</v>
      </c>
      <c r="O72" s="66">
        <v>14833</v>
      </c>
      <c r="P72" s="66"/>
      <c r="Q72" s="66">
        <f t="shared" si="35"/>
        <v>14833</v>
      </c>
      <c r="R72" s="65">
        <v>426703</v>
      </c>
      <c r="S72" s="65"/>
      <c r="T72" s="65">
        <f t="shared" si="36"/>
        <v>426703</v>
      </c>
      <c r="U72" s="66">
        <v>425</v>
      </c>
      <c r="V72" s="66"/>
      <c r="W72" s="66">
        <f t="shared" si="37"/>
        <v>425</v>
      </c>
      <c r="X72" s="65">
        <v>62331</v>
      </c>
      <c r="Y72" s="65"/>
      <c r="Z72" s="65">
        <f t="shared" si="38"/>
        <v>62331</v>
      </c>
      <c r="AA72" s="66">
        <v>22275</v>
      </c>
      <c r="AB72" s="66"/>
      <c r="AC72" s="66">
        <f t="shared" si="39"/>
        <v>22275</v>
      </c>
      <c r="AD72" s="65"/>
      <c r="AE72" s="65"/>
      <c r="AF72" s="65">
        <f t="shared" si="40"/>
        <v>0</v>
      </c>
      <c r="AG72" s="66"/>
      <c r="AH72" s="66"/>
      <c r="AI72" s="66">
        <f t="shared" si="41"/>
        <v>0</v>
      </c>
      <c r="AJ72" s="65"/>
      <c r="AK72" s="65"/>
      <c r="AL72" s="65">
        <f t="shared" si="42"/>
        <v>0</v>
      </c>
      <c r="AM72" s="66"/>
      <c r="AN72" s="66"/>
      <c r="AO72" s="66">
        <f t="shared" si="51"/>
        <v>0</v>
      </c>
    </row>
    <row r="73" spans="1:41" ht="18.95" customHeight="1" x14ac:dyDescent="0.3">
      <c r="A73" s="4" t="s">
        <v>25</v>
      </c>
      <c r="B73" s="16"/>
      <c r="C73" s="17">
        <f>SUM(C69:C72)</f>
        <v>994655</v>
      </c>
      <c r="D73" s="28"/>
      <c r="F73" s="17">
        <f>SUM(F69:F72)</f>
        <v>149815</v>
      </c>
      <c r="G73" s="17">
        <f t="shared" ref="G73:AL73" si="52">SUM(G69:G72)</f>
        <v>-97507</v>
      </c>
      <c r="H73" s="17">
        <f t="shared" si="52"/>
        <v>52308</v>
      </c>
      <c r="I73" s="17">
        <f t="shared" si="52"/>
        <v>353254</v>
      </c>
      <c r="J73" s="17">
        <f t="shared" si="52"/>
        <v>0</v>
      </c>
      <c r="K73" s="17">
        <f t="shared" si="52"/>
        <v>353254</v>
      </c>
      <c r="L73" s="17">
        <f t="shared" si="52"/>
        <v>31343</v>
      </c>
      <c r="M73" s="17">
        <f t="shared" si="52"/>
        <v>0</v>
      </c>
      <c r="N73" s="17">
        <f t="shared" si="52"/>
        <v>31343</v>
      </c>
      <c r="O73" s="17">
        <f t="shared" si="52"/>
        <v>39416</v>
      </c>
      <c r="P73" s="17">
        <f t="shared" si="52"/>
        <v>0</v>
      </c>
      <c r="Q73" s="17">
        <f t="shared" si="52"/>
        <v>39416</v>
      </c>
      <c r="R73" s="17">
        <f t="shared" si="52"/>
        <v>508175</v>
      </c>
      <c r="S73" s="17">
        <f t="shared" si="52"/>
        <v>-81472</v>
      </c>
      <c r="T73" s="17">
        <f t="shared" si="52"/>
        <v>426703</v>
      </c>
      <c r="U73" s="17">
        <f t="shared" si="52"/>
        <v>3425</v>
      </c>
      <c r="V73" s="17">
        <f t="shared" si="52"/>
        <v>0</v>
      </c>
      <c r="W73" s="17">
        <f t="shared" si="52"/>
        <v>3425</v>
      </c>
      <c r="X73" s="17">
        <f t="shared" si="52"/>
        <v>62331</v>
      </c>
      <c r="Y73" s="17">
        <f t="shared" si="52"/>
        <v>0</v>
      </c>
      <c r="Z73" s="17">
        <f t="shared" si="52"/>
        <v>62331</v>
      </c>
      <c r="AA73" s="17">
        <f t="shared" si="52"/>
        <v>25875</v>
      </c>
      <c r="AB73" s="17">
        <f t="shared" si="52"/>
        <v>0</v>
      </c>
      <c r="AC73" s="17">
        <f t="shared" si="52"/>
        <v>25875</v>
      </c>
      <c r="AD73" s="17">
        <f t="shared" si="52"/>
        <v>0</v>
      </c>
      <c r="AE73" s="17">
        <f t="shared" si="52"/>
        <v>0</v>
      </c>
      <c r="AF73" s="17">
        <f t="shared" si="52"/>
        <v>0</v>
      </c>
      <c r="AG73" s="17">
        <f t="shared" si="52"/>
        <v>0</v>
      </c>
      <c r="AH73" s="17">
        <f t="shared" si="52"/>
        <v>0</v>
      </c>
      <c r="AI73" s="17">
        <f t="shared" si="52"/>
        <v>0</v>
      </c>
      <c r="AJ73" s="17">
        <f t="shared" si="52"/>
        <v>0</v>
      </c>
      <c r="AK73" s="17">
        <f t="shared" si="52"/>
        <v>0</v>
      </c>
      <c r="AL73" s="17">
        <f t="shared" si="52"/>
        <v>0</v>
      </c>
      <c r="AM73" s="17">
        <f t="shared" ref="AM73:AO73" si="53">SUM(AM69:AM72)</f>
        <v>0</v>
      </c>
      <c r="AN73" s="17">
        <f t="shared" si="53"/>
        <v>0</v>
      </c>
      <c r="AO73" s="17">
        <f t="shared" si="53"/>
        <v>0</v>
      </c>
    </row>
    <row r="74" spans="1:41" ht="18.95" customHeight="1" thickBot="1" x14ac:dyDescent="0.35">
      <c r="A74" s="70" t="s">
        <v>69</v>
      </c>
      <c r="B74" s="16"/>
      <c r="C74" s="17">
        <f>C66+C73</f>
        <v>2777655</v>
      </c>
      <c r="D74" s="28"/>
      <c r="F74" s="17">
        <f t="shared" ref="F74:AO74" si="54">F66+F73</f>
        <v>1927415</v>
      </c>
      <c r="G74" s="17">
        <f t="shared" si="54"/>
        <v>-97507</v>
      </c>
      <c r="H74" s="17">
        <f t="shared" si="54"/>
        <v>1829908</v>
      </c>
      <c r="I74" s="17">
        <f t="shared" si="54"/>
        <v>353254</v>
      </c>
      <c r="J74" s="17">
        <f t="shared" si="54"/>
        <v>0</v>
      </c>
      <c r="K74" s="17">
        <f t="shared" si="54"/>
        <v>353254</v>
      </c>
      <c r="L74" s="17">
        <f t="shared" si="54"/>
        <v>31343</v>
      </c>
      <c r="M74" s="17">
        <f t="shared" si="54"/>
        <v>0</v>
      </c>
      <c r="N74" s="17">
        <f t="shared" si="54"/>
        <v>31343</v>
      </c>
      <c r="O74" s="17">
        <f t="shared" si="54"/>
        <v>44816</v>
      </c>
      <c r="P74" s="17">
        <f t="shared" si="54"/>
        <v>0</v>
      </c>
      <c r="Q74" s="17">
        <f t="shared" si="54"/>
        <v>44816</v>
      </c>
      <c r="R74" s="17">
        <f t="shared" si="54"/>
        <v>508175</v>
      </c>
      <c r="S74" s="17">
        <f t="shared" si="54"/>
        <v>-81472</v>
      </c>
      <c r="T74" s="17">
        <f t="shared" si="54"/>
        <v>426703</v>
      </c>
      <c r="U74" s="17">
        <f t="shared" si="54"/>
        <v>3425</v>
      </c>
      <c r="V74" s="17">
        <f t="shared" si="54"/>
        <v>0</v>
      </c>
      <c r="W74" s="17">
        <f t="shared" si="54"/>
        <v>3425</v>
      </c>
      <c r="X74" s="17">
        <f t="shared" si="54"/>
        <v>62331</v>
      </c>
      <c r="Y74" s="17">
        <f t="shared" si="54"/>
        <v>0</v>
      </c>
      <c r="Z74" s="17">
        <f t="shared" si="54"/>
        <v>62331</v>
      </c>
      <c r="AA74" s="17">
        <f t="shared" si="54"/>
        <v>25875</v>
      </c>
      <c r="AB74" s="17">
        <f t="shared" si="54"/>
        <v>0</v>
      </c>
      <c r="AC74" s="17">
        <f t="shared" si="54"/>
        <v>25875</v>
      </c>
      <c r="AD74" s="17">
        <f t="shared" si="54"/>
        <v>0</v>
      </c>
      <c r="AE74" s="17">
        <f t="shared" si="54"/>
        <v>0</v>
      </c>
      <c r="AF74" s="17">
        <f t="shared" si="54"/>
        <v>0</v>
      </c>
      <c r="AG74" s="17">
        <f t="shared" si="54"/>
        <v>0</v>
      </c>
      <c r="AH74" s="17">
        <f t="shared" si="54"/>
        <v>0</v>
      </c>
      <c r="AI74" s="17">
        <f t="shared" si="54"/>
        <v>0</v>
      </c>
      <c r="AJ74" s="17">
        <f t="shared" si="54"/>
        <v>0</v>
      </c>
      <c r="AK74" s="17">
        <f t="shared" si="54"/>
        <v>0</v>
      </c>
      <c r="AL74" s="17">
        <f t="shared" si="54"/>
        <v>0</v>
      </c>
      <c r="AM74" s="17">
        <f t="shared" si="54"/>
        <v>0</v>
      </c>
      <c r="AN74" s="17">
        <f t="shared" si="54"/>
        <v>0</v>
      </c>
      <c r="AO74" s="17">
        <f t="shared" si="54"/>
        <v>0</v>
      </c>
    </row>
    <row r="75" spans="1:41" ht="18" thickTop="1" x14ac:dyDescent="0.3">
      <c r="A75" s="15" t="s">
        <v>1</v>
      </c>
      <c r="B75" s="16"/>
      <c r="C75" s="46"/>
      <c r="D75" s="24"/>
      <c r="F75" s="65"/>
      <c r="G75" s="65"/>
      <c r="H75" s="65"/>
      <c r="I75" s="66"/>
      <c r="J75" s="66"/>
      <c r="K75" s="66"/>
      <c r="L75" s="65"/>
      <c r="M75" s="65"/>
      <c r="N75" s="65"/>
      <c r="O75" s="66"/>
      <c r="P75" s="66"/>
      <c r="Q75" s="66"/>
      <c r="R75" s="65"/>
      <c r="S75" s="65"/>
      <c r="T75" s="65"/>
      <c r="U75" s="66"/>
      <c r="V75" s="66"/>
      <c r="W75" s="66"/>
      <c r="X75" s="65"/>
      <c r="Y75" s="65"/>
      <c r="Z75" s="65"/>
      <c r="AA75" s="66"/>
      <c r="AB75" s="66"/>
      <c r="AC75" s="66"/>
      <c r="AD75" s="65"/>
      <c r="AE75" s="65"/>
      <c r="AF75" s="65"/>
      <c r="AG75" s="66"/>
      <c r="AH75" s="66"/>
      <c r="AI75" s="66"/>
      <c r="AJ75" s="65"/>
      <c r="AK75" s="65"/>
      <c r="AL75" s="65"/>
      <c r="AM75" s="66"/>
      <c r="AN75" s="66"/>
      <c r="AO75" s="66"/>
    </row>
    <row r="76" spans="1:41" ht="17.25" x14ac:dyDescent="0.3">
      <c r="A76" s="4" t="s">
        <v>26</v>
      </c>
      <c r="B76" s="16"/>
      <c r="C76" s="19"/>
      <c r="D76" s="24"/>
      <c r="F76" s="65"/>
      <c r="G76" s="65"/>
      <c r="H76" s="65"/>
      <c r="I76" s="66"/>
      <c r="J76" s="66"/>
      <c r="K76" s="66"/>
      <c r="L76" s="65"/>
      <c r="M76" s="65"/>
      <c r="N76" s="65"/>
      <c r="O76" s="66"/>
      <c r="P76" s="66"/>
      <c r="Q76" s="66"/>
      <c r="R76" s="65"/>
      <c r="S76" s="65"/>
      <c r="T76" s="65"/>
      <c r="U76" s="66"/>
      <c r="V76" s="66"/>
      <c r="W76" s="66"/>
      <c r="X76" s="65"/>
      <c r="Y76" s="65"/>
      <c r="Z76" s="65"/>
      <c r="AA76" s="66"/>
      <c r="AB76" s="66"/>
      <c r="AC76" s="66"/>
      <c r="AD76" s="65"/>
      <c r="AE76" s="65"/>
      <c r="AF76" s="65"/>
      <c r="AG76" s="66"/>
      <c r="AH76" s="66"/>
      <c r="AI76" s="66"/>
      <c r="AJ76" s="65"/>
      <c r="AK76" s="65"/>
      <c r="AL76" s="65"/>
      <c r="AM76" s="66"/>
      <c r="AN76" s="66"/>
      <c r="AO76" s="66"/>
    </row>
    <row r="77" spans="1:41" ht="6.95" customHeight="1" x14ac:dyDescent="0.3">
      <c r="A77" s="4"/>
      <c r="B77" s="16"/>
      <c r="C77" s="19"/>
      <c r="D77" s="24"/>
      <c r="F77" s="65"/>
      <c r="G77" s="65"/>
      <c r="H77" s="65"/>
      <c r="I77" s="66"/>
      <c r="J77" s="66"/>
      <c r="K77" s="66"/>
      <c r="L77" s="65"/>
      <c r="M77" s="65"/>
      <c r="N77" s="65"/>
      <c r="O77" s="66"/>
      <c r="P77" s="66"/>
      <c r="Q77" s="66"/>
      <c r="R77" s="65"/>
      <c r="S77" s="65"/>
      <c r="T77" s="65"/>
      <c r="U77" s="66"/>
      <c r="V77" s="66"/>
      <c r="W77" s="66"/>
      <c r="X77" s="65"/>
      <c r="Y77" s="65"/>
      <c r="Z77" s="65"/>
      <c r="AA77" s="66"/>
      <c r="AB77" s="66"/>
      <c r="AC77" s="66"/>
      <c r="AD77" s="65"/>
      <c r="AE77" s="65"/>
      <c r="AF77" s="65"/>
      <c r="AG77" s="66"/>
      <c r="AH77" s="66"/>
      <c r="AI77" s="66"/>
      <c r="AJ77" s="65"/>
      <c r="AK77" s="65"/>
      <c r="AL77" s="65"/>
      <c r="AM77" s="66"/>
      <c r="AN77" s="66"/>
      <c r="AO77" s="66"/>
    </row>
    <row r="78" spans="1:41" ht="17.25" x14ac:dyDescent="0.3">
      <c r="A78" s="4" t="s">
        <v>27</v>
      </c>
      <c r="B78" s="25"/>
      <c r="C78" s="47"/>
      <c r="D78" s="48"/>
      <c r="F78" s="65"/>
      <c r="G78" s="65"/>
      <c r="H78" s="65"/>
      <c r="I78" s="66"/>
      <c r="J78" s="66"/>
      <c r="K78" s="66"/>
      <c r="L78" s="65"/>
      <c r="M78" s="65"/>
      <c r="N78" s="65"/>
      <c r="O78" s="66"/>
      <c r="P78" s="66"/>
      <c r="Q78" s="66"/>
      <c r="R78" s="65"/>
      <c r="S78" s="65"/>
      <c r="T78" s="65"/>
      <c r="U78" s="66"/>
      <c r="V78" s="66"/>
      <c r="W78" s="66"/>
      <c r="X78" s="65"/>
      <c r="Y78" s="65"/>
      <c r="Z78" s="65"/>
      <c r="AA78" s="66"/>
      <c r="AB78" s="66"/>
      <c r="AC78" s="66"/>
      <c r="AD78" s="65"/>
      <c r="AE78" s="65"/>
      <c r="AF78" s="65"/>
      <c r="AG78" s="66"/>
      <c r="AH78" s="66"/>
      <c r="AI78" s="66"/>
      <c r="AJ78" s="65"/>
      <c r="AK78" s="65"/>
      <c r="AL78" s="65"/>
      <c r="AM78" s="66"/>
      <c r="AN78" s="66"/>
      <c r="AO78" s="66"/>
    </row>
    <row r="79" spans="1:41" ht="17.25" hidden="1" x14ac:dyDescent="0.3">
      <c r="A79" s="4" t="s">
        <v>28</v>
      </c>
      <c r="B79" s="16"/>
      <c r="C79" s="19"/>
      <c r="D79" s="24"/>
      <c r="F79" s="65"/>
      <c r="G79" s="65"/>
      <c r="H79" s="65"/>
      <c r="I79" s="66"/>
      <c r="J79" s="66"/>
      <c r="K79" s="66"/>
      <c r="L79" s="65"/>
      <c r="M79" s="65"/>
      <c r="N79" s="65"/>
      <c r="O79" s="66"/>
      <c r="P79" s="66"/>
      <c r="Q79" s="66"/>
      <c r="R79" s="65"/>
      <c r="S79" s="65"/>
      <c r="T79" s="65"/>
      <c r="U79" s="66"/>
      <c r="V79" s="66"/>
      <c r="W79" s="66"/>
      <c r="X79" s="65"/>
      <c r="Y79" s="65"/>
      <c r="Z79" s="65"/>
      <c r="AA79" s="66"/>
      <c r="AB79" s="66"/>
      <c r="AC79" s="66"/>
      <c r="AD79" s="65"/>
      <c r="AE79" s="65"/>
      <c r="AF79" s="65"/>
      <c r="AG79" s="66"/>
      <c r="AH79" s="66"/>
      <c r="AI79" s="66"/>
      <c r="AJ79" s="65"/>
      <c r="AK79" s="65"/>
      <c r="AL79" s="65"/>
      <c r="AM79" s="66"/>
      <c r="AN79" s="66"/>
      <c r="AO79" s="66"/>
    </row>
    <row r="80" spans="1:41" ht="17.25" hidden="1" x14ac:dyDescent="0.3">
      <c r="A80" s="15" t="s">
        <v>29</v>
      </c>
      <c r="B80" s="16"/>
      <c r="C80" s="19">
        <v>0</v>
      </c>
      <c r="D80" s="24"/>
      <c r="F80" s="65"/>
      <c r="G80" s="65"/>
      <c r="H80" s="65"/>
      <c r="I80" s="66"/>
      <c r="J80" s="66"/>
      <c r="K80" s="66"/>
      <c r="L80" s="65"/>
      <c r="M80" s="65"/>
      <c r="N80" s="65"/>
      <c r="O80" s="66"/>
      <c r="P80" s="66"/>
      <c r="Q80" s="66"/>
      <c r="R80" s="65"/>
      <c r="S80" s="65"/>
      <c r="T80" s="65"/>
      <c r="U80" s="66"/>
      <c r="V80" s="66"/>
      <c r="W80" s="66"/>
      <c r="X80" s="65"/>
      <c r="Y80" s="65"/>
      <c r="Z80" s="65"/>
      <c r="AA80" s="66"/>
      <c r="AB80" s="66"/>
      <c r="AC80" s="66"/>
      <c r="AD80" s="65"/>
      <c r="AE80" s="65"/>
      <c r="AF80" s="65"/>
      <c r="AG80" s="66"/>
      <c r="AH80" s="66"/>
      <c r="AI80" s="66"/>
      <c r="AJ80" s="65"/>
      <c r="AK80" s="65"/>
      <c r="AL80" s="65"/>
      <c r="AM80" s="66"/>
      <c r="AN80" s="66"/>
      <c r="AO80" s="66"/>
    </row>
    <row r="81" spans="1:41" ht="17.25" hidden="1" x14ac:dyDescent="0.3">
      <c r="A81" s="4" t="s">
        <v>30</v>
      </c>
      <c r="B81" s="16"/>
      <c r="C81" s="18">
        <f>C80</f>
        <v>0</v>
      </c>
      <c r="D81" s="24"/>
      <c r="F81" s="65"/>
      <c r="G81" s="65"/>
      <c r="H81" s="65"/>
      <c r="I81" s="66"/>
      <c r="J81" s="66"/>
      <c r="K81" s="66"/>
      <c r="L81" s="65"/>
      <c r="M81" s="65"/>
      <c r="N81" s="65"/>
      <c r="O81" s="66"/>
      <c r="P81" s="66"/>
      <c r="Q81" s="66"/>
      <c r="R81" s="65"/>
      <c r="S81" s="65"/>
      <c r="T81" s="65"/>
      <c r="U81" s="66"/>
      <c r="V81" s="66"/>
      <c r="W81" s="66"/>
      <c r="X81" s="65"/>
      <c r="Y81" s="65"/>
      <c r="Z81" s="65"/>
      <c r="AA81" s="66"/>
      <c r="AB81" s="66"/>
      <c r="AC81" s="66"/>
      <c r="AD81" s="65"/>
      <c r="AE81" s="65"/>
      <c r="AF81" s="65"/>
      <c r="AG81" s="66"/>
      <c r="AH81" s="66"/>
      <c r="AI81" s="66"/>
      <c r="AJ81" s="65"/>
      <c r="AK81" s="65"/>
      <c r="AL81" s="65"/>
      <c r="AM81" s="66"/>
      <c r="AN81" s="66"/>
      <c r="AO81" s="66"/>
    </row>
    <row r="82" spans="1:41" ht="9.9499999999999993" customHeight="1" x14ac:dyDescent="0.3">
      <c r="A82" s="15"/>
      <c r="B82" s="16"/>
      <c r="C82" s="19"/>
      <c r="D82" s="24"/>
      <c r="F82" s="65"/>
      <c r="G82" s="65"/>
      <c r="H82" s="65"/>
      <c r="I82" s="66"/>
      <c r="J82" s="66"/>
      <c r="K82" s="66"/>
      <c r="L82" s="65"/>
      <c r="M82" s="65"/>
      <c r="N82" s="65"/>
      <c r="O82" s="66"/>
      <c r="P82" s="66"/>
      <c r="Q82" s="66"/>
      <c r="R82" s="65"/>
      <c r="S82" s="65"/>
      <c r="T82" s="65"/>
      <c r="U82" s="66"/>
      <c r="V82" s="66"/>
      <c r="W82" s="66"/>
      <c r="X82" s="65"/>
      <c r="Y82" s="65"/>
      <c r="Z82" s="65"/>
      <c r="AA82" s="66"/>
      <c r="AB82" s="66"/>
      <c r="AC82" s="66"/>
      <c r="AD82" s="65"/>
      <c r="AE82" s="65"/>
      <c r="AF82" s="65"/>
      <c r="AG82" s="66"/>
      <c r="AH82" s="66"/>
      <c r="AI82" s="66"/>
      <c r="AJ82" s="65"/>
      <c r="AK82" s="65"/>
      <c r="AL82" s="65"/>
      <c r="AM82" s="66"/>
      <c r="AN82" s="66"/>
      <c r="AO82" s="66"/>
    </row>
    <row r="83" spans="1:41" ht="17.25" x14ac:dyDescent="0.3">
      <c r="A83" s="15" t="s">
        <v>31</v>
      </c>
      <c r="B83" s="16"/>
      <c r="C83" s="14">
        <f>H83+K83+N83+Q83+T83+W83+Z83+AC83+AF83+AI83+AL83+AO83</f>
        <v>784456</v>
      </c>
      <c r="D83" s="24"/>
      <c r="F83" s="65">
        <v>263407</v>
      </c>
      <c r="G83" s="65"/>
      <c r="H83" s="65">
        <f t="shared" si="32"/>
        <v>263407</v>
      </c>
      <c r="I83" s="66">
        <v>129769</v>
      </c>
      <c r="J83" s="66"/>
      <c r="K83" s="66">
        <f t="shared" si="33"/>
        <v>129769</v>
      </c>
      <c r="L83" s="65">
        <v>10504</v>
      </c>
      <c r="M83" s="65"/>
      <c r="N83" s="65">
        <f t="shared" si="34"/>
        <v>10504</v>
      </c>
      <c r="O83" s="66">
        <v>22401</v>
      </c>
      <c r="P83" s="66"/>
      <c r="Q83" s="66">
        <f t="shared" si="35"/>
        <v>22401</v>
      </c>
      <c r="R83" s="65">
        <v>312915</v>
      </c>
      <c r="S83" s="65"/>
      <c r="T83" s="65">
        <f t="shared" si="36"/>
        <v>312915</v>
      </c>
      <c r="U83" s="66">
        <v>-33636</v>
      </c>
      <c r="V83" s="66"/>
      <c r="W83" s="66">
        <f t="shared" si="37"/>
        <v>-33636</v>
      </c>
      <c r="X83" s="65">
        <v>55441</v>
      </c>
      <c r="Y83" s="65"/>
      <c r="Z83" s="65">
        <f t="shared" si="38"/>
        <v>55441</v>
      </c>
      <c r="AA83" s="66">
        <v>23655</v>
      </c>
      <c r="AB83" s="66"/>
      <c r="AC83" s="66">
        <f t="shared" si="39"/>
        <v>23655</v>
      </c>
      <c r="AD83" s="65">
        <v>0</v>
      </c>
      <c r="AE83" s="65"/>
      <c r="AF83" s="65">
        <f t="shared" si="40"/>
        <v>0</v>
      </c>
      <c r="AG83" s="66"/>
      <c r="AH83" s="66"/>
      <c r="AI83" s="66">
        <f t="shared" si="41"/>
        <v>0</v>
      </c>
      <c r="AJ83" s="65"/>
      <c r="AK83" s="65"/>
      <c r="AL83" s="65">
        <f t="shared" si="42"/>
        <v>0</v>
      </c>
      <c r="AM83" s="66"/>
      <c r="AN83" s="66"/>
      <c r="AO83" s="66">
        <f t="shared" ref="AO83" si="55">AM83+AN83</f>
        <v>0</v>
      </c>
    </row>
    <row r="84" spans="1:41" ht="18.95" customHeight="1" x14ac:dyDescent="0.3">
      <c r="A84" s="4" t="s">
        <v>32</v>
      </c>
      <c r="B84" s="16"/>
      <c r="C84" s="17">
        <f>C83</f>
        <v>784456</v>
      </c>
      <c r="D84" s="28"/>
      <c r="F84" s="17">
        <f>F83</f>
        <v>263407</v>
      </c>
      <c r="G84" s="17">
        <f t="shared" ref="G84:AL84" si="56">G83</f>
        <v>0</v>
      </c>
      <c r="H84" s="17">
        <f t="shared" si="56"/>
        <v>263407</v>
      </c>
      <c r="I84" s="17">
        <f t="shared" si="56"/>
        <v>129769</v>
      </c>
      <c r="J84" s="17">
        <f t="shared" si="56"/>
        <v>0</v>
      </c>
      <c r="K84" s="17">
        <f t="shared" si="56"/>
        <v>129769</v>
      </c>
      <c r="L84" s="17">
        <f t="shared" si="56"/>
        <v>10504</v>
      </c>
      <c r="M84" s="17">
        <f t="shared" si="56"/>
        <v>0</v>
      </c>
      <c r="N84" s="17">
        <f t="shared" si="56"/>
        <v>10504</v>
      </c>
      <c r="O84" s="17">
        <f t="shared" si="56"/>
        <v>22401</v>
      </c>
      <c r="P84" s="17">
        <f t="shared" si="56"/>
        <v>0</v>
      </c>
      <c r="Q84" s="17">
        <f t="shared" si="56"/>
        <v>22401</v>
      </c>
      <c r="R84" s="17">
        <f t="shared" si="56"/>
        <v>312915</v>
      </c>
      <c r="S84" s="17">
        <f t="shared" si="56"/>
        <v>0</v>
      </c>
      <c r="T84" s="17">
        <f t="shared" si="56"/>
        <v>312915</v>
      </c>
      <c r="U84" s="17">
        <f t="shared" si="56"/>
        <v>-33636</v>
      </c>
      <c r="V84" s="17">
        <f t="shared" si="56"/>
        <v>0</v>
      </c>
      <c r="W84" s="17">
        <f t="shared" si="56"/>
        <v>-33636</v>
      </c>
      <c r="X84" s="17">
        <f t="shared" si="56"/>
        <v>55441</v>
      </c>
      <c r="Y84" s="17">
        <f t="shared" si="56"/>
        <v>0</v>
      </c>
      <c r="Z84" s="17">
        <f t="shared" si="56"/>
        <v>55441</v>
      </c>
      <c r="AA84" s="17">
        <f t="shared" si="56"/>
        <v>23655</v>
      </c>
      <c r="AB84" s="17">
        <f t="shared" si="56"/>
        <v>0</v>
      </c>
      <c r="AC84" s="17">
        <f t="shared" si="56"/>
        <v>23655</v>
      </c>
      <c r="AD84" s="17">
        <f t="shared" si="56"/>
        <v>0</v>
      </c>
      <c r="AE84" s="17">
        <f t="shared" si="56"/>
        <v>0</v>
      </c>
      <c r="AF84" s="17">
        <f t="shared" si="56"/>
        <v>0</v>
      </c>
      <c r="AG84" s="17">
        <f t="shared" si="56"/>
        <v>0</v>
      </c>
      <c r="AH84" s="17">
        <f t="shared" si="56"/>
        <v>0</v>
      </c>
      <c r="AI84" s="17">
        <f t="shared" si="56"/>
        <v>0</v>
      </c>
      <c r="AJ84" s="17">
        <f t="shared" si="56"/>
        <v>0</v>
      </c>
      <c r="AK84" s="17">
        <f t="shared" si="56"/>
        <v>0</v>
      </c>
      <c r="AL84" s="17">
        <f t="shared" si="56"/>
        <v>0</v>
      </c>
      <c r="AM84" s="17">
        <f t="shared" ref="AM84:AO84" si="57">AM83</f>
        <v>0</v>
      </c>
      <c r="AN84" s="17">
        <f t="shared" si="57"/>
        <v>0</v>
      </c>
      <c r="AO84" s="17">
        <f t="shared" si="57"/>
        <v>0</v>
      </c>
    </row>
    <row r="85" spans="1:41" ht="9.9499999999999993" customHeight="1" x14ac:dyDescent="0.3">
      <c r="A85" s="4"/>
      <c r="B85" s="16"/>
      <c r="C85" s="17"/>
      <c r="D85" s="28"/>
      <c r="F85" s="65"/>
      <c r="G85" s="65"/>
      <c r="H85" s="65"/>
      <c r="I85" s="66"/>
      <c r="J85" s="66"/>
      <c r="K85" s="66"/>
      <c r="L85" s="65"/>
      <c r="M85" s="65"/>
      <c r="N85" s="65"/>
      <c r="O85" s="66"/>
      <c r="P85" s="66"/>
      <c r="Q85" s="66"/>
      <c r="R85" s="65"/>
      <c r="S85" s="65"/>
      <c r="T85" s="65"/>
      <c r="U85" s="66"/>
      <c r="V85" s="66"/>
      <c r="W85" s="66"/>
      <c r="X85" s="65"/>
      <c r="Y85" s="65"/>
      <c r="Z85" s="65"/>
      <c r="AA85" s="66"/>
      <c r="AB85" s="66"/>
      <c r="AC85" s="66"/>
      <c r="AD85" s="65"/>
      <c r="AE85" s="65"/>
      <c r="AF85" s="65"/>
      <c r="AG85" s="66"/>
      <c r="AH85" s="66"/>
      <c r="AI85" s="66"/>
      <c r="AJ85" s="65"/>
      <c r="AK85" s="65"/>
      <c r="AL85" s="65"/>
      <c r="AM85" s="66"/>
      <c r="AN85" s="66"/>
      <c r="AO85" s="66"/>
    </row>
    <row r="86" spans="1:41" ht="17.25" x14ac:dyDescent="0.3">
      <c r="A86" s="4" t="s">
        <v>33</v>
      </c>
      <c r="B86" s="16"/>
      <c r="C86" s="28"/>
      <c r="D86" s="28"/>
      <c r="F86" s="65"/>
      <c r="G86" s="65"/>
      <c r="H86" s="65">
        <f t="shared" si="32"/>
        <v>0</v>
      </c>
      <c r="I86" s="66"/>
      <c r="J86" s="66"/>
      <c r="K86" s="66">
        <f t="shared" si="33"/>
        <v>0</v>
      </c>
      <c r="L86" s="65"/>
      <c r="M86" s="65"/>
      <c r="N86" s="65">
        <f t="shared" si="34"/>
        <v>0</v>
      </c>
      <c r="O86" s="66"/>
      <c r="P86" s="66"/>
      <c r="Q86" s="66">
        <f t="shared" si="35"/>
        <v>0</v>
      </c>
      <c r="R86" s="65"/>
      <c r="S86" s="65"/>
      <c r="T86" s="65">
        <f t="shared" si="36"/>
        <v>0</v>
      </c>
      <c r="U86" s="66"/>
      <c r="V86" s="66"/>
      <c r="W86" s="66">
        <f t="shared" si="37"/>
        <v>0</v>
      </c>
      <c r="X86" s="65"/>
      <c r="Y86" s="65"/>
      <c r="Z86" s="65">
        <f t="shared" si="38"/>
        <v>0</v>
      </c>
      <c r="AA86" s="66"/>
      <c r="AB86" s="66"/>
      <c r="AC86" s="66">
        <f t="shared" si="39"/>
        <v>0</v>
      </c>
      <c r="AD86" s="65"/>
      <c r="AE86" s="65"/>
      <c r="AF86" s="65">
        <f t="shared" si="40"/>
        <v>0</v>
      </c>
      <c r="AG86" s="66"/>
      <c r="AH86" s="66"/>
      <c r="AI86" s="66">
        <f t="shared" si="41"/>
        <v>0</v>
      </c>
      <c r="AJ86" s="65"/>
      <c r="AK86" s="65"/>
      <c r="AL86" s="65">
        <f t="shared" si="42"/>
        <v>0</v>
      </c>
      <c r="AM86" s="66"/>
      <c r="AN86" s="66"/>
      <c r="AO86" s="66">
        <f t="shared" ref="AO86:AO88" si="58">AM86+AN86</f>
        <v>0</v>
      </c>
    </row>
    <row r="87" spans="1:41" ht="17.25" x14ac:dyDescent="0.3">
      <c r="A87" s="70" t="s">
        <v>78</v>
      </c>
      <c r="B87" s="16"/>
      <c r="C87" s="21"/>
      <c r="D87" s="28"/>
      <c r="F87" s="65"/>
      <c r="G87" s="65"/>
      <c r="H87" s="65">
        <f t="shared" si="32"/>
        <v>0</v>
      </c>
      <c r="I87" s="66"/>
      <c r="J87" s="66"/>
      <c r="K87" s="66">
        <f t="shared" si="33"/>
        <v>0</v>
      </c>
      <c r="L87" s="65"/>
      <c r="M87" s="65"/>
      <c r="N87" s="65">
        <f t="shared" si="34"/>
        <v>0</v>
      </c>
      <c r="O87" s="66"/>
      <c r="P87" s="66"/>
      <c r="Q87" s="66">
        <f t="shared" si="35"/>
        <v>0</v>
      </c>
      <c r="R87" s="65"/>
      <c r="S87" s="65"/>
      <c r="T87" s="65">
        <f t="shared" si="36"/>
        <v>0</v>
      </c>
      <c r="U87" s="66"/>
      <c r="V87" s="66"/>
      <c r="W87" s="66">
        <f t="shared" si="37"/>
        <v>0</v>
      </c>
      <c r="X87" s="65"/>
      <c r="Y87" s="65"/>
      <c r="Z87" s="65">
        <f t="shared" si="38"/>
        <v>0</v>
      </c>
      <c r="AA87" s="66"/>
      <c r="AB87" s="66"/>
      <c r="AC87" s="66">
        <f t="shared" si="39"/>
        <v>0</v>
      </c>
      <c r="AD87" s="65"/>
      <c r="AE87" s="65"/>
      <c r="AF87" s="65">
        <f t="shared" si="40"/>
        <v>0</v>
      </c>
      <c r="AG87" s="66"/>
      <c r="AH87" s="66"/>
      <c r="AI87" s="66">
        <f t="shared" si="41"/>
        <v>0</v>
      </c>
      <c r="AJ87" s="65"/>
      <c r="AK87" s="65"/>
      <c r="AL87" s="65">
        <f t="shared" si="42"/>
        <v>0</v>
      </c>
      <c r="AM87" s="66"/>
      <c r="AN87" s="66"/>
      <c r="AO87" s="66">
        <f t="shared" si="58"/>
        <v>0</v>
      </c>
    </row>
    <row r="88" spans="1:41" ht="17.25" x14ac:dyDescent="0.3">
      <c r="A88" s="15" t="s">
        <v>34</v>
      </c>
      <c r="B88" s="16"/>
      <c r="C88" s="14">
        <f>H88+K88+N88+Q88+T88+W88+Z88+AC88+AF88+AI88+AL88+AO88</f>
        <v>1270360</v>
      </c>
      <c r="D88" s="28"/>
      <c r="F88" s="65">
        <v>1270360</v>
      </c>
      <c r="G88" s="65"/>
      <c r="H88" s="65">
        <f t="shared" si="32"/>
        <v>1270360</v>
      </c>
      <c r="I88" s="66">
        <v>0</v>
      </c>
      <c r="J88" s="66"/>
      <c r="K88" s="66">
        <f t="shared" si="33"/>
        <v>0</v>
      </c>
      <c r="L88" s="65">
        <v>0</v>
      </c>
      <c r="M88" s="65"/>
      <c r="N88" s="65">
        <f t="shared" si="34"/>
        <v>0</v>
      </c>
      <c r="O88" s="66">
        <v>0</v>
      </c>
      <c r="P88" s="66"/>
      <c r="Q88" s="66">
        <f t="shared" si="35"/>
        <v>0</v>
      </c>
      <c r="R88" s="65">
        <v>0</v>
      </c>
      <c r="S88" s="65"/>
      <c r="T88" s="65">
        <f t="shared" si="36"/>
        <v>0</v>
      </c>
      <c r="U88" s="66">
        <v>0</v>
      </c>
      <c r="V88" s="66"/>
      <c r="W88" s="66">
        <f t="shared" si="37"/>
        <v>0</v>
      </c>
      <c r="X88" s="65"/>
      <c r="Y88" s="65"/>
      <c r="Z88" s="65">
        <f t="shared" si="38"/>
        <v>0</v>
      </c>
      <c r="AA88" s="66"/>
      <c r="AB88" s="66"/>
      <c r="AC88" s="66">
        <f t="shared" si="39"/>
        <v>0</v>
      </c>
      <c r="AD88" s="65"/>
      <c r="AE88" s="65"/>
      <c r="AF88" s="65">
        <f t="shared" si="40"/>
        <v>0</v>
      </c>
      <c r="AG88" s="66"/>
      <c r="AH88" s="66"/>
      <c r="AI88" s="66">
        <f t="shared" si="41"/>
        <v>0</v>
      </c>
      <c r="AJ88" s="65"/>
      <c r="AK88" s="65"/>
      <c r="AL88" s="65">
        <f t="shared" si="42"/>
        <v>0</v>
      </c>
      <c r="AM88" s="66"/>
      <c r="AN88" s="66"/>
      <c r="AO88" s="66">
        <f t="shared" si="58"/>
        <v>0</v>
      </c>
    </row>
    <row r="89" spans="1:41" ht="17.25" x14ac:dyDescent="0.3">
      <c r="A89" s="71" t="s">
        <v>77</v>
      </c>
      <c r="B89" s="16"/>
      <c r="C89" s="17">
        <f>C88</f>
        <v>1270360</v>
      </c>
      <c r="D89" s="28"/>
      <c r="F89" s="17">
        <f>F88</f>
        <v>1270360</v>
      </c>
      <c r="G89" s="17">
        <f t="shared" ref="G89:AL89" si="59">G88</f>
        <v>0</v>
      </c>
      <c r="H89" s="17">
        <f t="shared" si="59"/>
        <v>1270360</v>
      </c>
      <c r="I89" s="17">
        <f t="shared" si="59"/>
        <v>0</v>
      </c>
      <c r="J89" s="17">
        <f t="shared" si="59"/>
        <v>0</v>
      </c>
      <c r="K89" s="17">
        <f t="shared" si="59"/>
        <v>0</v>
      </c>
      <c r="L89" s="17">
        <f t="shared" si="59"/>
        <v>0</v>
      </c>
      <c r="M89" s="17">
        <f t="shared" si="59"/>
        <v>0</v>
      </c>
      <c r="N89" s="17">
        <f t="shared" si="59"/>
        <v>0</v>
      </c>
      <c r="O89" s="17">
        <f t="shared" si="59"/>
        <v>0</v>
      </c>
      <c r="P89" s="17">
        <f t="shared" si="59"/>
        <v>0</v>
      </c>
      <c r="Q89" s="17">
        <f t="shared" si="59"/>
        <v>0</v>
      </c>
      <c r="R89" s="17">
        <f t="shared" si="59"/>
        <v>0</v>
      </c>
      <c r="S89" s="17">
        <f t="shared" si="59"/>
        <v>0</v>
      </c>
      <c r="T89" s="17">
        <f t="shared" si="59"/>
        <v>0</v>
      </c>
      <c r="U89" s="17">
        <f t="shared" si="59"/>
        <v>0</v>
      </c>
      <c r="V89" s="17">
        <f t="shared" si="59"/>
        <v>0</v>
      </c>
      <c r="W89" s="17">
        <f t="shared" si="59"/>
        <v>0</v>
      </c>
      <c r="X89" s="17">
        <f t="shared" si="59"/>
        <v>0</v>
      </c>
      <c r="Y89" s="17">
        <f t="shared" si="59"/>
        <v>0</v>
      </c>
      <c r="Z89" s="17">
        <f t="shared" si="59"/>
        <v>0</v>
      </c>
      <c r="AA89" s="17">
        <f t="shared" si="59"/>
        <v>0</v>
      </c>
      <c r="AB89" s="17">
        <f t="shared" si="59"/>
        <v>0</v>
      </c>
      <c r="AC89" s="17">
        <f t="shared" si="59"/>
        <v>0</v>
      </c>
      <c r="AD89" s="17">
        <f t="shared" si="59"/>
        <v>0</v>
      </c>
      <c r="AE89" s="17">
        <f t="shared" si="59"/>
        <v>0</v>
      </c>
      <c r="AF89" s="17">
        <f t="shared" si="59"/>
        <v>0</v>
      </c>
      <c r="AG89" s="17">
        <f t="shared" si="59"/>
        <v>0</v>
      </c>
      <c r="AH89" s="17">
        <f t="shared" si="59"/>
        <v>0</v>
      </c>
      <c r="AI89" s="17">
        <f t="shared" si="59"/>
        <v>0</v>
      </c>
      <c r="AJ89" s="17">
        <f t="shared" si="59"/>
        <v>0</v>
      </c>
      <c r="AK89" s="17">
        <f t="shared" si="59"/>
        <v>0</v>
      </c>
      <c r="AL89" s="17">
        <f t="shared" si="59"/>
        <v>0</v>
      </c>
      <c r="AM89" s="17">
        <f t="shared" ref="AM89:AO89" si="60">AM88</f>
        <v>0</v>
      </c>
      <c r="AN89" s="17">
        <f t="shared" si="60"/>
        <v>0</v>
      </c>
      <c r="AO89" s="17">
        <f t="shared" si="60"/>
        <v>0</v>
      </c>
    </row>
    <row r="90" spans="1:41" ht="11.1" customHeight="1" x14ac:dyDescent="0.3">
      <c r="A90" s="15"/>
      <c r="B90" s="16"/>
      <c r="C90" s="24"/>
      <c r="D90" s="24"/>
      <c r="F90" s="65"/>
      <c r="G90" s="65"/>
      <c r="H90" s="65"/>
      <c r="I90" s="66"/>
      <c r="J90" s="66"/>
      <c r="K90" s="66"/>
      <c r="L90" s="65"/>
      <c r="M90" s="65"/>
      <c r="N90" s="65"/>
      <c r="O90" s="66"/>
      <c r="P90" s="66"/>
      <c r="Q90" s="66"/>
      <c r="R90" s="65"/>
      <c r="S90" s="65"/>
      <c r="T90" s="65"/>
      <c r="U90" s="66"/>
      <c r="V90" s="66"/>
      <c r="W90" s="66"/>
      <c r="X90" s="65"/>
      <c r="Y90" s="65"/>
      <c r="Z90" s="65"/>
      <c r="AA90" s="66"/>
      <c r="AB90" s="66"/>
      <c r="AC90" s="66"/>
      <c r="AD90" s="65"/>
      <c r="AE90" s="65"/>
      <c r="AF90" s="65"/>
      <c r="AG90" s="66"/>
      <c r="AH90" s="66"/>
      <c r="AI90" s="66"/>
      <c r="AJ90" s="65"/>
      <c r="AK90" s="65"/>
      <c r="AL90" s="65"/>
      <c r="AM90" s="66"/>
      <c r="AN90" s="66"/>
      <c r="AO90" s="66"/>
    </row>
    <row r="91" spans="1:41" ht="17.25" x14ac:dyDescent="0.3">
      <c r="A91" s="70" t="s">
        <v>79</v>
      </c>
      <c r="B91" s="16"/>
      <c r="C91" s="19"/>
      <c r="D91" s="24"/>
      <c r="F91" s="65"/>
      <c r="G91" s="65"/>
      <c r="H91" s="65"/>
      <c r="I91" s="66"/>
      <c r="J91" s="66"/>
      <c r="K91" s="66"/>
      <c r="L91" s="65"/>
      <c r="M91" s="65"/>
      <c r="N91" s="65"/>
      <c r="O91" s="66"/>
      <c r="P91" s="66"/>
      <c r="Q91" s="66"/>
      <c r="R91" s="65"/>
      <c r="S91" s="65"/>
      <c r="T91" s="65"/>
      <c r="U91" s="66"/>
      <c r="V91" s="66"/>
      <c r="W91" s="66"/>
      <c r="X91" s="65"/>
      <c r="Y91" s="65"/>
      <c r="Z91" s="65"/>
      <c r="AA91" s="66"/>
      <c r="AB91" s="66"/>
      <c r="AC91" s="66"/>
      <c r="AD91" s="65"/>
      <c r="AE91" s="65"/>
      <c r="AF91" s="65"/>
      <c r="AG91" s="66"/>
      <c r="AH91" s="66"/>
      <c r="AI91" s="66"/>
      <c r="AJ91" s="65"/>
      <c r="AK91" s="65"/>
      <c r="AL91" s="65"/>
      <c r="AM91" s="66"/>
      <c r="AN91" s="66"/>
      <c r="AO91" s="66"/>
    </row>
    <row r="92" spans="1:41" ht="17.25" x14ac:dyDescent="0.3">
      <c r="A92" s="68" t="s">
        <v>75</v>
      </c>
      <c r="B92" s="16"/>
      <c r="C92" s="14">
        <f>H92+K92+N92+Q92+T92+W92+Z92+AC92+AF92+AI92+AL92+AO92</f>
        <v>130327</v>
      </c>
      <c r="D92" s="24"/>
      <c r="F92" s="65">
        <v>130327</v>
      </c>
      <c r="G92" s="65"/>
      <c r="H92" s="65">
        <f t="shared" si="32"/>
        <v>130327</v>
      </c>
      <c r="I92" s="66"/>
      <c r="J92" s="66"/>
      <c r="K92" s="66">
        <f t="shared" si="33"/>
        <v>0</v>
      </c>
      <c r="L92" s="65">
        <v>0</v>
      </c>
      <c r="M92" s="65"/>
      <c r="N92" s="65">
        <f t="shared" si="34"/>
        <v>0</v>
      </c>
      <c r="O92" s="66">
        <v>0</v>
      </c>
      <c r="P92" s="66"/>
      <c r="Q92" s="66">
        <f t="shared" si="35"/>
        <v>0</v>
      </c>
      <c r="R92" s="65">
        <v>0</v>
      </c>
      <c r="S92" s="65"/>
      <c r="T92" s="65">
        <f t="shared" si="36"/>
        <v>0</v>
      </c>
      <c r="U92" s="66">
        <v>0</v>
      </c>
      <c r="V92" s="66"/>
      <c r="W92" s="66">
        <f t="shared" si="37"/>
        <v>0</v>
      </c>
      <c r="X92" s="65"/>
      <c r="Y92" s="65"/>
      <c r="Z92" s="65">
        <f t="shared" si="38"/>
        <v>0</v>
      </c>
      <c r="AA92" s="66"/>
      <c r="AB92" s="66"/>
      <c r="AC92" s="66">
        <f t="shared" si="39"/>
        <v>0</v>
      </c>
      <c r="AD92" s="65"/>
      <c r="AE92" s="65"/>
      <c r="AF92" s="65">
        <f t="shared" si="40"/>
        <v>0</v>
      </c>
      <c r="AG92" s="66"/>
      <c r="AH92" s="66"/>
      <c r="AI92" s="66">
        <f t="shared" si="41"/>
        <v>0</v>
      </c>
      <c r="AJ92" s="65"/>
      <c r="AK92" s="65"/>
      <c r="AL92" s="65">
        <f t="shared" si="42"/>
        <v>0</v>
      </c>
      <c r="AM92" s="66"/>
      <c r="AN92" s="66"/>
      <c r="AO92" s="66">
        <f t="shared" ref="AO92:AO95" si="61">AM92+AN92</f>
        <v>0</v>
      </c>
    </row>
    <row r="93" spans="1:41" ht="17.25" x14ac:dyDescent="0.3">
      <c r="A93" s="15" t="s">
        <v>35</v>
      </c>
      <c r="B93" s="16"/>
      <c r="C93" s="14">
        <f>H93+K93+N93+Q93+T93+W93+Z93+AC93+AF93+AI93+AL93+AO93</f>
        <v>367971</v>
      </c>
      <c r="D93" s="24"/>
      <c r="F93" s="65">
        <v>116034</v>
      </c>
      <c r="G93" s="65"/>
      <c r="H93" s="65">
        <f t="shared" si="32"/>
        <v>116034</v>
      </c>
      <c r="I93" s="66">
        <v>50377</v>
      </c>
      <c r="J93" s="66"/>
      <c r="K93" s="66">
        <f t="shared" si="33"/>
        <v>50377</v>
      </c>
      <c r="L93" s="65">
        <v>0</v>
      </c>
      <c r="M93" s="65"/>
      <c r="N93" s="65">
        <f t="shared" si="34"/>
        <v>0</v>
      </c>
      <c r="O93" s="66">
        <v>0</v>
      </c>
      <c r="P93" s="66"/>
      <c r="Q93" s="66">
        <f t="shared" si="35"/>
        <v>0</v>
      </c>
      <c r="R93" s="65">
        <v>195260</v>
      </c>
      <c r="S93" s="65"/>
      <c r="T93" s="65">
        <f t="shared" si="36"/>
        <v>195260</v>
      </c>
      <c r="U93" s="66">
        <v>6300</v>
      </c>
      <c r="V93" s="66"/>
      <c r="W93" s="66">
        <f t="shared" si="37"/>
        <v>6300</v>
      </c>
      <c r="X93" s="65"/>
      <c r="Y93" s="65"/>
      <c r="Z93" s="65">
        <f t="shared" si="38"/>
        <v>0</v>
      </c>
      <c r="AA93" s="66"/>
      <c r="AB93" s="66"/>
      <c r="AC93" s="66">
        <f t="shared" si="39"/>
        <v>0</v>
      </c>
      <c r="AD93" s="65"/>
      <c r="AE93" s="65"/>
      <c r="AF93" s="65">
        <f t="shared" si="40"/>
        <v>0</v>
      </c>
      <c r="AG93" s="66"/>
      <c r="AH93" s="66"/>
      <c r="AI93" s="66">
        <f t="shared" si="41"/>
        <v>0</v>
      </c>
      <c r="AJ93" s="65"/>
      <c r="AK93" s="65"/>
      <c r="AL93" s="65">
        <f t="shared" si="42"/>
        <v>0</v>
      </c>
      <c r="AM93" s="66"/>
      <c r="AN93" s="66"/>
      <c r="AO93" s="66">
        <f t="shared" si="61"/>
        <v>0</v>
      </c>
    </row>
    <row r="94" spans="1:41" ht="17.25" x14ac:dyDescent="0.3">
      <c r="A94" s="68" t="s">
        <v>76</v>
      </c>
      <c r="B94" s="16"/>
      <c r="C94" s="14">
        <f>H94+K94+N94+Q94+T94+W94+Z94+AC94+AF94+AI94+AL94+AO94</f>
        <v>34563</v>
      </c>
      <c r="D94" s="24"/>
      <c r="F94" s="65">
        <v>34563</v>
      </c>
      <c r="G94" s="65"/>
      <c r="H94" s="65">
        <f t="shared" si="32"/>
        <v>34563</v>
      </c>
      <c r="I94" s="66">
        <v>0</v>
      </c>
      <c r="J94" s="66"/>
      <c r="K94" s="66">
        <f t="shared" si="33"/>
        <v>0</v>
      </c>
      <c r="L94" s="65">
        <v>0</v>
      </c>
      <c r="M94" s="65"/>
      <c r="N94" s="65">
        <f t="shared" si="34"/>
        <v>0</v>
      </c>
      <c r="O94" s="66">
        <v>0</v>
      </c>
      <c r="P94" s="66"/>
      <c r="Q94" s="66">
        <f t="shared" si="35"/>
        <v>0</v>
      </c>
      <c r="R94" s="65">
        <v>0</v>
      </c>
      <c r="S94" s="65"/>
      <c r="T94" s="65">
        <f t="shared" si="36"/>
        <v>0</v>
      </c>
      <c r="U94" s="66">
        <v>0</v>
      </c>
      <c r="V94" s="66"/>
      <c r="W94" s="66">
        <f t="shared" si="37"/>
        <v>0</v>
      </c>
      <c r="X94" s="65"/>
      <c r="Y94" s="65"/>
      <c r="Z94" s="65">
        <f t="shared" si="38"/>
        <v>0</v>
      </c>
      <c r="AA94" s="66"/>
      <c r="AB94" s="66"/>
      <c r="AC94" s="66">
        <f t="shared" si="39"/>
        <v>0</v>
      </c>
      <c r="AD94" s="65"/>
      <c r="AE94" s="65"/>
      <c r="AF94" s="65">
        <f t="shared" si="40"/>
        <v>0</v>
      </c>
      <c r="AG94" s="66"/>
      <c r="AH94" s="66"/>
      <c r="AI94" s="66">
        <f t="shared" si="41"/>
        <v>0</v>
      </c>
      <c r="AJ94" s="65"/>
      <c r="AK94" s="65"/>
      <c r="AL94" s="65">
        <f t="shared" si="42"/>
        <v>0</v>
      </c>
      <c r="AM94" s="66"/>
      <c r="AN94" s="66"/>
      <c r="AO94" s="66">
        <f t="shared" si="61"/>
        <v>0</v>
      </c>
    </row>
    <row r="95" spans="1:41" ht="18.95" customHeight="1" x14ac:dyDescent="0.3">
      <c r="A95" s="15" t="s">
        <v>36</v>
      </c>
      <c r="B95" s="16"/>
      <c r="C95" s="14">
        <f>H95+K95+N95+Q95+T95+W95+Z95+AC95+AF95+AI95+AL95+AO95</f>
        <v>189978</v>
      </c>
      <c r="D95" s="45"/>
      <c r="F95" s="65">
        <v>112724</v>
      </c>
      <c r="G95" s="120">
        <v>-11681</v>
      </c>
      <c r="H95" s="65">
        <f t="shared" si="32"/>
        <v>101043</v>
      </c>
      <c r="I95" s="66">
        <v>173108</v>
      </c>
      <c r="J95" s="120">
        <f>-64987-25121</f>
        <v>-90108</v>
      </c>
      <c r="K95" s="66">
        <f t="shared" si="33"/>
        <v>83000</v>
      </c>
      <c r="L95" s="65">
        <v>20839</v>
      </c>
      <c r="M95" s="120">
        <v>-11675</v>
      </c>
      <c r="N95" s="65">
        <f t="shared" si="34"/>
        <v>9164</v>
      </c>
      <c r="O95" s="66">
        <v>22415</v>
      </c>
      <c r="P95" s="120">
        <v>-28438</v>
      </c>
      <c r="Q95" s="66">
        <f t="shared" si="35"/>
        <v>-6023</v>
      </c>
      <c r="R95" s="65">
        <v>0</v>
      </c>
      <c r="S95" s="65">
        <v>0</v>
      </c>
      <c r="T95" s="65">
        <f t="shared" si="36"/>
        <v>0</v>
      </c>
      <c r="U95" s="66">
        <v>30761</v>
      </c>
      <c r="V95" s="120">
        <v>-27967</v>
      </c>
      <c r="W95" s="66">
        <f t="shared" si="37"/>
        <v>2794</v>
      </c>
      <c r="X95" s="65">
        <v>6890</v>
      </c>
      <c r="Y95" s="120">
        <v>-6890</v>
      </c>
      <c r="Z95" s="65">
        <f t="shared" si="38"/>
        <v>0</v>
      </c>
      <c r="AA95" s="66">
        <v>2220</v>
      </c>
      <c r="AB95" s="120">
        <v>-2220</v>
      </c>
      <c r="AC95" s="66">
        <f t="shared" si="39"/>
        <v>0</v>
      </c>
      <c r="AD95" s="65"/>
      <c r="AE95" s="65"/>
      <c r="AF95" s="65">
        <f t="shared" si="40"/>
        <v>0</v>
      </c>
      <c r="AG95" s="66"/>
      <c r="AH95" s="66"/>
      <c r="AI95" s="66">
        <f t="shared" si="41"/>
        <v>0</v>
      </c>
      <c r="AJ95" s="65"/>
      <c r="AK95" s="97"/>
      <c r="AL95" s="65">
        <f t="shared" si="42"/>
        <v>0</v>
      </c>
      <c r="AM95" s="66"/>
      <c r="AN95" s="66"/>
      <c r="AO95" s="66">
        <f t="shared" si="61"/>
        <v>0</v>
      </c>
    </row>
    <row r="96" spans="1:41" ht="18.95" customHeight="1" x14ac:dyDescent="0.3">
      <c r="A96" s="70" t="s">
        <v>80</v>
      </c>
      <c r="B96" s="16"/>
      <c r="C96" s="28">
        <f>SUM(C92:C95)</f>
        <v>722839</v>
      </c>
      <c r="D96" s="28"/>
      <c r="F96" s="28">
        <f>SUM(F92:F95)</f>
        <v>393648</v>
      </c>
      <c r="G96" s="28">
        <f>SUM(G92:G95)</f>
        <v>-11681</v>
      </c>
      <c r="H96" s="28">
        <f>SUM(H92:H95)</f>
        <v>381967</v>
      </c>
      <c r="I96" s="28">
        <f t="shared" ref="I96:AL96" si="62">SUM(I92:I95)</f>
        <v>223485</v>
      </c>
      <c r="J96" s="28">
        <f t="shared" si="62"/>
        <v>-90108</v>
      </c>
      <c r="K96" s="28">
        <f t="shared" si="62"/>
        <v>133377</v>
      </c>
      <c r="L96" s="28">
        <f t="shared" si="62"/>
        <v>20839</v>
      </c>
      <c r="M96" s="28">
        <f t="shared" si="62"/>
        <v>-11675</v>
      </c>
      <c r="N96" s="28">
        <f t="shared" si="62"/>
        <v>9164</v>
      </c>
      <c r="O96" s="28">
        <f t="shared" si="62"/>
        <v>22415</v>
      </c>
      <c r="P96" s="28">
        <f t="shared" si="62"/>
        <v>-28438</v>
      </c>
      <c r="Q96" s="28">
        <f t="shared" si="62"/>
        <v>-6023</v>
      </c>
      <c r="R96" s="28">
        <f t="shared" si="62"/>
        <v>195260</v>
      </c>
      <c r="S96" s="28">
        <f t="shared" si="62"/>
        <v>0</v>
      </c>
      <c r="T96" s="28">
        <f t="shared" si="62"/>
        <v>195260</v>
      </c>
      <c r="U96" s="28">
        <f t="shared" si="62"/>
        <v>37061</v>
      </c>
      <c r="V96" s="28">
        <f t="shared" si="62"/>
        <v>-27967</v>
      </c>
      <c r="W96" s="28">
        <f t="shared" si="62"/>
        <v>9094</v>
      </c>
      <c r="X96" s="28">
        <f t="shared" si="62"/>
        <v>6890</v>
      </c>
      <c r="Y96" s="28">
        <f t="shared" si="62"/>
        <v>-6890</v>
      </c>
      <c r="Z96" s="28">
        <f t="shared" si="62"/>
        <v>0</v>
      </c>
      <c r="AA96" s="28">
        <f t="shared" si="62"/>
        <v>2220</v>
      </c>
      <c r="AB96" s="28">
        <f t="shared" si="62"/>
        <v>-2220</v>
      </c>
      <c r="AC96" s="28">
        <f t="shared" si="62"/>
        <v>0</v>
      </c>
      <c r="AD96" s="28">
        <f t="shared" si="62"/>
        <v>0</v>
      </c>
      <c r="AE96" s="28">
        <f t="shared" si="62"/>
        <v>0</v>
      </c>
      <c r="AF96" s="28">
        <f t="shared" si="62"/>
        <v>0</v>
      </c>
      <c r="AG96" s="28">
        <f t="shared" si="62"/>
        <v>0</v>
      </c>
      <c r="AH96" s="28">
        <f t="shared" si="62"/>
        <v>0</v>
      </c>
      <c r="AI96" s="28">
        <f t="shared" si="62"/>
        <v>0</v>
      </c>
      <c r="AJ96" s="28">
        <f t="shared" si="62"/>
        <v>0</v>
      </c>
      <c r="AK96" s="28">
        <f t="shared" si="62"/>
        <v>0</v>
      </c>
      <c r="AL96" s="28">
        <f t="shared" si="62"/>
        <v>0</v>
      </c>
      <c r="AM96" s="28">
        <f t="shared" ref="AM96:AO96" si="63">SUM(AM92:AM95)</f>
        <v>0</v>
      </c>
      <c r="AN96" s="28">
        <f t="shared" si="63"/>
        <v>0</v>
      </c>
      <c r="AO96" s="28">
        <f t="shared" si="63"/>
        <v>0</v>
      </c>
    </row>
    <row r="97" spans="1:42" ht="18.95" customHeight="1" x14ac:dyDescent="0.3">
      <c r="A97" s="70" t="s">
        <v>81</v>
      </c>
      <c r="B97" s="16"/>
      <c r="C97" s="72">
        <f>C89+C96</f>
        <v>1993199</v>
      </c>
      <c r="D97" s="28"/>
      <c r="F97" s="72">
        <f>F89+F96</f>
        <v>1664008</v>
      </c>
      <c r="G97" s="72">
        <f t="shared" ref="G97:AL97" si="64">G89+G96</f>
        <v>-11681</v>
      </c>
      <c r="H97" s="72">
        <f t="shared" si="64"/>
        <v>1652327</v>
      </c>
      <c r="I97" s="72">
        <f t="shared" si="64"/>
        <v>223485</v>
      </c>
      <c r="J97" s="72">
        <f t="shared" si="64"/>
        <v>-90108</v>
      </c>
      <c r="K97" s="72">
        <f t="shared" si="64"/>
        <v>133377</v>
      </c>
      <c r="L97" s="72">
        <f t="shared" si="64"/>
        <v>20839</v>
      </c>
      <c r="M97" s="72">
        <f t="shared" si="64"/>
        <v>-11675</v>
      </c>
      <c r="N97" s="72">
        <f t="shared" si="64"/>
        <v>9164</v>
      </c>
      <c r="O97" s="72">
        <f t="shared" si="64"/>
        <v>22415</v>
      </c>
      <c r="P97" s="72">
        <f t="shared" si="64"/>
        <v>-28438</v>
      </c>
      <c r="Q97" s="72">
        <f t="shared" si="64"/>
        <v>-6023</v>
      </c>
      <c r="R97" s="72">
        <f t="shared" si="64"/>
        <v>195260</v>
      </c>
      <c r="S97" s="72">
        <f t="shared" si="64"/>
        <v>0</v>
      </c>
      <c r="T97" s="72">
        <f t="shared" si="64"/>
        <v>195260</v>
      </c>
      <c r="U97" s="72">
        <f t="shared" si="64"/>
        <v>37061</v>
      </c>
      <c r="V97" s="72">
        <f t="shared" si="64"/>
        <v>-27967</v>
      </c>
      <c r="W97" s="72">
        <f t="shared" si="64"/>
        <v>9094</v>
      </c>
      <c r="X97" s="72">
        <f t="shared" si="64"/>
        <v>6890</v>
      </c>
      <c r="Y97" s="72">
        <f t="shared" si="64"/>
        <v>-6890</v>
      </c>
      <c r="Z97" s="72">
        <f t="shared" si="64"/>
        <v>0</v>
      </c>
      <c r="AA97" s="72">
        <f t="shared" si="64"/>
        <v>2220</v>
      </c>
      <c r="AB97" s="72">
        <f t="shared" si="64"/>
        <v>-2220</v>
      </c>
      <c r="AC97" s="72">
        <f t="shared" si="64"/>
        <v>0</v>
      </c>
      <c r="AD97" s="72">
        <f t="shared" si="64"/>
        <v>0</v>
      </c>
      <c r="AE97" s="72">
        <f t="shared" si="64"/>
        <v>0</v>
      </c>
      <c r="AF97" s="72">
        <f t="shared" si="64"/>
        <v>0</v>
      </c>
      <c r="AG97" s="72">
        <f t="shared" si="64"/>
        <v>0</v>
      </c>
      <c r="AH97" s="72">
        <f t="shared" si="64"/>
        <v>0</v>
      </c>
      <c r="AI97" s="72">
        <f t="shared" si="64"/>
        <v>0</v>
      </c>
      <c r="AJ97" s="72">
        <f t="shared" si="64"/>
        <v>0</v>
      </c>
      <c r="AK97" s="72">
        <f t="shared" si="64"/>
        <v>0</v>
      </c>
      <c r="AL97" s="72">
        <f t="shared" si="64"/>
        <v>0</v>
      </c>
      <c r="AM97" s="72">
        <f t="shared" ref="AM97:AO97" si="65">AM89+AM96</f>
        <v>0</v>
      </c>
      <c r="AN97" s="72">
        <f t="shared" si="65"/>
        <v>0</v>
      </c>
      <c r="AO97" s="72">
        <f t="shared" si="65"/>
        <v>0</v>
      </c>
    </row>
    <row r="98" spans="1:42" ht="18.95" customHeight="1" x14ac:dyDescent="0.3">
      <c r="A98" s="4"/>
      <c r="B98" s="16"/>
      <c r="C98" s="28"/>
      <c r="D98" s="28"/>
      <c r="F98" s="28"/>
      <c r="G98" s="65"/>
      <c r="H98" s="65"/>
      <c r="I98" s="66"/>
      <c r="J98" s="66"/>
      <c r="K98" s="66"/>
      <c r="L98" s="65"/>
      <c r="M98" s="65"/>
      <c r="N98" s="65"/>
      <c r="O98" s="66"/>
      <c r="P98" s="66"/>
      <c r="Q98" s="66"/>
      <c r="R98" s="65"/>
      <c r="S98" s="65"/>
      <c r="T98" s="65"/>
      <c r="U98" s="66"/>
      <c r="V98" s="66"/>
      <c r="W98" s="66"/>
      <c r="X98" s="65"/>
      <c r="Y98" s="65"/>
      <c r="Z98" s="65"/>
      <c r="AA98" s="66"/>
      <c r="AB98" s="66"/>
      <c r="AC98" s="66"/>
      <c r="AD98" s="65"/>
      <c r="AE98" s="65"/>
      <c r="AF98" s="65"/>
      <c r="AG98" s="66"/>
      <c r="AH98" s="66"/>
      <c r="AI98" s="66"/>
      <c r="AJ98" s="65"/>
      <c r="AK98" s="65"/>
      <c r="AL98" s="65"/>
      <c r="AM98" s="66"/>
      <c r="AN98" s="66"/>
      <c r="AO98" s="66"/>
    </row>
    <row r="99" spans="1:42" ht="18.95" customHeight="1" thickBot="1" x14ac:dyDescent="0.35">
      <c r="A99" s="4" t="s">
        <v>37</v>
      </c>
      <c r="B99" s="16"/>
      <c r="C99" s="17">
        <f>C84+C97</f>
        <v>2777655</v>
      </c>
      <c r="D99" s="28"/>
      <c r="F99" s="17">
        <f>F84+F97</f>
        <v>1927415</v>
      </c>
      <c r="G99" s="17">
        <f t="shared" ref="G99:AL99" si="66">G84+G97</f>
        <v>-11681</v>
      </c>
      <c r="H99" s="17">
        <f t="shared" si="66"/>
        <v>1915734</v>
      </c>
      <c r="I99" s="17">
        <f t="shared" si="66"/>
        <v>353254</v>
      </c>
      <c r="J99" s="17">
        <f t="shared" si="66"/>
        <v>-90108</v>
      </c>
      <c r="K99" s="17">
        <f t="shared" si="66"/>
        <v>263146</v>
      </c>
      <c r="L99" s="17">
        <f t="shared" si="66"/>
        <v>31343</v>
      </c>
      <c r="M99" s="17">
        <f t="shared" si="66"/>
        <v>-11675</v>
      </c>
      <c r="N99" s="17">
        <f t="shared" si="66"/>
        <v>19668</v>
      </c>
      <c r="O99" s="17">
        <f t="shared" si="66"/>
        <v>44816</v>
      </c>
      <c r="P99" s="17">
        <f t="shared" si="66"/>
        <v>-28438</v>
      </c>
      <c r="Q99" s="17">
        <f t="shared" si="66"/>
        <v>16378</v>
      </c>
      <c r="R99" s="17">
        <f t="shared" si="66"/>
        <v>508175</v>
      </c>
      <c r="S99" s="17">
        <f t="shared" si="66"/>
        <v>0</v>
      </c>
      <c r="T99" s="17">
        <f t="shared" si="66"/>
        <v>508175</v>
      </c>
      <c r="U99" s="17">
        <f t="shared" si="66"/>
        <v>3425</v>
      </c>
      <c r="V99" s="17">
        <f t="shared" si="66"/>
        <v>-27967</v>
      </c>
      <c r="W99" s="17">
        <f t="shared" si="66"/>
        <v>-24542</v>
      </c>
      <c r="X99" s="17">
        <f t="shared" si="66"/>
        <v>62331</v>
      </c>
      <c r="Y99" s="17">
        <f t="shared" si="66"/>
        <v>-6890</v>
      </c>
      <c r="Z99" s="17">
        <f t="shared" si="66"/>
        <v>55441</v>
      </c>
      <c r="AA99" s="17">
        <f t="shared" si="66"/>
        <v>25875</v>
      </c>
      <c r="AB99" s="17">
        <f t="shared" si="66"/>
        <v>-2220</v>
      </c>
      <c r="AC99" s="17">
        <f t="shared" si="66"/>
        <v>23655</v>
      </c>
      <c r="AD99" s="17">
        <f t="shared" si="66"/>
        <v>0</v>
      </c>
      <c r="AE99" s="17">
        <f t="shared" si="66"/>
        <v>0</v>
      </c>
      <c r="AF99" s="17">
        <f t="shared" si="66"/>
        <v>0</v>
      </c>
      <c r="AG99" s="17">
        <f t="shared" si="66"/>
        <v>0</v>
      </c>
      <c r="AH99" s="17">
        <f t="shared" si="66"/>
        <v>0</v>
      </c>
      <c r="AI99" s="17">
        <f t="shared" si="66"/>
        <v>0</v>
      </c>
      <c r="AJ99" s="17">
        <f t="shared" si="66"/>
        <v>0</v>
      </c>
      <c r="AK99" s="17">
        <f t="shared" si="66"/>
        <v>0</v>
      </c>
      <c r="AL99" s="17">
        <f t="shared" si="66"/>
        <v>0</v>
      </c>
      <c r="AM99" s="17">
        <f t="shared" ref="AM99:AO99" si="67">AM84+AM97</f>
        <v>0</v>
      </c>
      <c r="AN99" s="17">
        <f t="shared" si="67"/>
        <v>0</v>
      </c>
      <c r="AO99" s="17">
        <f t="shared" si="67"/>
        <v>0</v>
      </c>
    </row>
    <row r="100" spans="1:42" ht="15.75" thickTop="1" x14ac:dyDescent="0.2">
      <c r="C100" s="73">
        <f>C74-C99</f>
        <v>0</v>
      </c>
      <c r="D100" s="50"/>
      <c r="F100" s="73">
        <f>F74-F99</f>
        <v>0</v>
      </c>
      <c r="G100" s="73">
        <f t="shared" ref="G100:AL100" si="68">G74-G99</f>
        <v>-85826</v>
      </c>
      <c r="H100" s="73">
        <f t="shared" si="68"/>
        <v>-85826</v>
      </c>
      <c r="I100" s="73">
        <f t="shared" si="68"/>
        <v>0</v>
      </c>
      <c r="J100" s="73">
        <f t="shared" si="68"/>
        <v>90108</v>
      </c>
      <c r="K100" s="73">
        <f t="shared" si="68"/>
        <v>90108</v>
      </c>
      <c r="L100" s="73">
        <f t="shared" si="68"/>
        <v>0</v>
      </c>
      <c r="M100" s="73">
        <f t="shared" si="68"/>
        <v>11675</v>
      </c>
      <c r="N100" s="73">
        <f t="shared" si="68"/>
        <v>11675</v>
      </c>
      <c r="O100" s="73">
        <f t="shared" si="68"/>
        <v>0</v>
      </c>
      <c r="P100" s="73">
        <f t="shared" si="68"/>
        <v>28438</v>
      </c>
      <c r="Q100" s="73">
        <f t="shared" si="68"/>
        <v>28438</v>
      </c>
      <c r="R100" s="73">
        <f t="shared" si="68"/>
        <v>0</v>
      </c>
      <c r="S100" s="73">
        <f t="shared" si="68"/>
        <v>-81472</v>
      </c>
      <c r="T100" s="73">
        <f t="shared" si="68"/>
        <v>-81472</v>
      </c>
      <c r="U100" s="73">
        <f t="shared" si="68"/>
        <v>0</v>
      </c>
      <c r="V100" s="73">
        <f t="shared" si="68"/>
        <v>27967</v>
      </c>
      <c r="W100" s="73">
        <f t="shared" si="68"/>
        <v>27967</v>
      </c>
      <c r="X100" s="73">
        <f t="shared" si="68"/>
        <v>0</v>
      </c>
      <c r="Y100" s="73">
        <f t="shared" si="68"/>
        <v>6890</v>
      </c>
      <c r="Z100" s="73">
        <f t="shared" si="68"/>
        <v>6890</v>
      </c>
      <c r="AA100" s="73">
        <f t="shared" si="68"/>
        <v>0</v>
      </c>
      <c r="AB100" s="73">
        <f t="shared" si="68"/>
        <v>2220</v>
      </c>
      <c r="AC100" s="73">
        <f t="shared" si="68"/>
        <v>2220</v>
      </c>
      <c r="AD100" s="73">
        <f t="shared" si="68"/>
        <v>0</v>
      </c>
      <c r="AE100" s="73">
        <f t="shared" si="68"/>
        <v>0</v>
      </c>
      <c r="AF100" s="73">
        <f t="shared" si="68"/>
        <v>0</v>
      </c>
      <c r="AG100" s="73">
        <f t="shared" si="68"/>
        <v>0</v>
      </c>
      <c r="AH100" s="73">
        <f t="shared" si="68"/>
        <v>0</v>
      </c>
      <c r="AI100" s="73">
        <f t="shared" si="68"/>
        <v>0</v>
      </c>
      <c r="AJ100" s="73">
        <f t="shared" si="68"/>
        <v>0</v>
      </c>
      <c r="AK100" s="73">
        <f t="shared" si="68"/>
        <v>0</v>
      </c>
      <c r="AL100" s="73">
        <f t="shared" si="68"/>
        <v>0</v>
      </c>
      <c r="AM100" s="73">
        <f t="shared" ref="AM100:AO100" si="69">AM74-AM99</f>
        <v>0</v>
      </c>
      <c r="AN100" s="73">
        <f t="shared" si="69"/>
        <v>0</v>
      </c>
      <c r="AO100" s="73">
        <f t="shared" si="69"/>
        <v>0</v>
      </c>
      <c r="AP100" s="51"/>
    </row>
    <row r="101" spans="1:42" x14ac:dyDescent="0.2">
      <c r="C101" s="50"/>
      <c r="D101" s="50"/>
      <c r="AN101" s="3" t="s">
        <v>163</v>
      </c>
      <c r="AO101" s="51">
        <f>SUM(F100:AO100)</f>
        <v>0</v>
      </c>
    </row>
    <row r="102" spans="1:42" x14ac:dyDescent="0.2">
      <c r="C102" s="51"/>
      <c r="D102" s="52"/>
      <c r="G102" s="51">
        <f>SUM(G100)</f>
        <v>-85826</v>
      </c>
      <c r="H102" s="51"/>
      <c r="I102" s="51"/>
      <c r="J102" s="51">
        <f t="shared" ref="J102:AB102" si="70">SUM(J100)</f>
        <v>90108</v>
      </c>
      <c r="K102" s="51"/>
      <c r="L102" s="51"/>
      <c r="M102" s="51">
        <f t="shared" si="70"/>
        <v>11675</v>
      </c>
      <c r="N102" s="51"/>
      <c r="O102" s="51"/>
      <c r="P102" s="51">
        <f t="shared" si="70"/>
        <v>28438</v>
      </c>
      <c r="Q102" s="51"/>
      <c r="R102" s="51"/>
      <c r="S102" s="51">
        <f t="shared" si="70"/>
        <v>-81472</v>
      </c>
      <c r="T102" s="51"/>
      <c r="U102" s="51"/>
      <c r="V102" s="51">
        <f t="shared" si="70"/>
        <v>27967</v>
      </c>
      <c r="W102" s="51"/>
      <c r="X102" s="51"/>
      <c r="Y102" s="51">
        <f t="shared" si="70"/>
        <v>6890</v>
      </c>
      <c r="Z102" s="51"/>
      <c r="AA102" s="51"/>
      <c r="AB102" s="51">
        <f t="shared" si="70"/>
        <v>2220</v>
      </c>
      <c r="AC102" s="51"/>
    </row>
    <row r="103" spans="1:42" x14ac:dyDescent="0.2">
      <c r="A103" s="15" t="s">
        <v>165</v>
      </c>
      <c r="B103" s="96"/>
      <c r="C103" s="96"/>
      <c r="D103" s="56"/>
      <c r="E103" s="51"/>
      <c r="F103" s="51">
        <f>SUM(G102:AC102)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</row>
    <row r="104" spans="1:42" x14ac:dyDescent="0.2">
      <c r="A104" s="15" t="s">
        <v>166</v>
      </c>
      <c r="C104" s="15"/>
      <c r="D104" s="12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</row>
    <row r="105" spans="1:42" x14ac:dyDescent="0.2">
      <c r="A105" s="15"/>
      <c r="C105" s="15"/>
      <c r="D105" s="12"/>
      <c r="F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</row>
    <row r="106" spans="1:42" x14ac:dyDescent="0.2">
      <c r="A106" s="15"/>
      <c r="C106" s="15"/>
      <c r="D106" s="12"/>
    </row>
    <row r="107" spans="1:42" x14ac:dyDescent="0.2">
      <c r="A107" s="15"/>
      <c r="C107" s="15"/>
      <c r="D107" s="12"/>
    </row>
    <row r="108" spans="1:42" ht="15.75" x14ac:dyDescent="0.25">
      <c r="A108" s="71" t="s">
        <v>130</v>
      </c>
      <c r="C108" s="15"/>
      <c r="D108" s="12"/>
    </row>
    <row r="109" spans="1:42" x14ac:dyDescent="0.2">
      <c r="A109" s="15" t="s">
        <v>131</v>
      </c>
      <c r="B109" s="96"/>
      <c r="C109" s="102"/>
      <c r="D109" s="56"/>
    </row>
    <row r="110" spans="1:42" x14ac:dyDescent="0.2">
      <c r="A110" s="15" t="s">
        <v>132</v>
      </c>
      <c r="B110" s="96"/>
      <c r="C110" s="102">
        <f t="shared" ref="C110:C123" si="71">F110+I110+L110+O110+R110+U110+X110+AA110+AD110+AG110+AJ110+AM110</f>
        <v>0</v>
      </c>
      <c r="D110" s="56"/>
    </row>
    <row r="111" spans="1:42" x14ac:dyDescent="0.2">
      <c r="A111" s="15" t="s">
        <v>133</v>
      </c>
      <c r="B111" s="96"/>
      <c r="C111" s="102">
        <f t="shared" si="71"/>
        <v>0</v>
      </c>
      <c r="D111" s="56"/>
    </row>
    <row r="112" spans="1:42" x14ac:dyDescent="0.2">
      <c r="A112" s="15" t="s">
        <v>134</v>
      </c>
      <c r="B112" s="96"/>
      <c r="C112" s="102">
        <f t="shared" si="71"/>
        <v>0</v>
      </c>
      <c r="D112" s="56"/>
    </row>
    <row r="113" spans="1:4" x14ac:dyDescent="0.2">
      <c r="A113" s="15" t="s">
        <v>146</v>
      </c>
      <c r="B113" s="98"/>
      <c r="C113" s="102">
        <f t="shared" si="71"/>
        <v>0</v>
      </c>
      <c r="D113" s="56"/>
    </row>
    <row r="114" spans="1:4" x14ac:dyDescent="0.2">
      <c r="A114" s="15" t="s">
        <v>145</v>
      </c>
      <c r="B114" s="96"/>
      <c r="C114" s="102">
        <f t="shared" si="71"/>
        <v>0</v>
      </c>
      <c r="D114" s="56"/>
    </row>
    <row r="115" spans="1:4" x14ac:dyDescent="0.2">
      <c r="A115" s="15" t="s">
        <v>135</v>
      </c>
      <c r="B115" s="96"/>
      <c r="C115" s="102">
        <f t="shared" si="71"/>
        <v>0</v>
      </c>
      <c r="D115" s="56"/>
    </row>
    <row r="116" spans="1:4" x14ac:dyDescent="0.2">
      <c r="A116" s="15" t="s">
        <v>136</v>
      </c>
      <c r="B116" s="96"/>
      <c r="C116" s="102">
        <f t="shared" si="71"/>
        <v>0</v>
      </c>
      <c r="D116" s="56"/>
    </row>
    <row r="117" spans="1:4" x14ac:dyDescent="0.2">
      <c r="A117" s="15" t="s">
        <v>143</v>
      </c>
      <c r="B117" s="98"/>
      <c r="C117" s="102">
        <f t="shared" si="71"/>
        <v>0</v>
      </c>
      <c r="D117" s="56"/>
    </row>
    <row r="118" spans="1:4" x14ac:dyDescent="0.2">
      <c r="A118" s="15" t="s">
        <v>140</v>
      </c>
      <c r="B118" s="98"/>
      <c r="C118" s="102">
        <f t="shared" si="71"/>
        <v>0</v>
      </c>
      <c r="D118" s="56"/>
    </row>
    <row r="119" spans="1:4" x14ac:dyDescent="0.2">
      <c r="A119" s="15" t="s">
        <v>137</v>
      </c>
      <c r="B119" s="96"/>
      <c r="C119" s="102">
        <f t="shared" si="71"/>
        <v>0</v>
      </c>
      <c r="D119" s="56"/>
    </row>
    <row r="120" spans="1:4" x14ac:dyDescent="0.2">
      <c r="A120" s="15" t="s">
        <v>138</v>
      </c>
      <c r="B120" s="96"/>
      <c r="C120" s="102">
        <f t="shared" si="71"/>
        <v>0</v>
      </c>
      <c r="D120" s="56"/>
    </row>
    <row r="121" spans="1:4" x14ac:dyDescent="0.2">
      <c r="A121" s="15" t="s">
        <v>144</v>
      </c>
      <c r="B121" s="98"/>
      <c r="C121" s="102">
        <f t="shared" si="71"/>
        <v>0</v>
      </c>
      <c r="D121" s="56"/>
    </row>
    <row r="122" spans="1:4" x14ac:dyDescent="0.2">
      <c r="A122" s="15" t="s">
        <v>139</v>
      </c>
      <c r="B122" s="2"/>
      <c r="C122" s="102">
        <f t="shared" si="71"/>
        <v>0</v>
      </c>
      <c r="D122" s="57"/>
    </row>
    <row r="123" spans="1:4" x14ac:dyDescent="0.2">
      <c r="A123" s="15" t="s">
        <v>141</v>
      </c>
      <c r="B123" s="2"/>
      <c r="C123" s="102">
        <f t="shared" si="71"/>
        <v>0</v>
      </c>
      <c r="D123" s="57"/>
    </row>
    <row r="124" spans="1:4" x14ac:dyDescent="0.2">
      <c r="B124" s="2"/>
      <c r="C124" s="103"/>
      <c r="D124" s="57"/>
    </row>
    <row r="125" spans="1:4" x14ac:dyDescent="0.2">
      <c r="A125" s="3" t="s">
        <v>142</v>
      </c>
      <c r="B125" s="2"/>
      <c r="C125" s="103">
        <f>SUM(C109:C124)</f>
        <v>0</v>
      </c>
      <c r="D125" s="57"/>
    </row>
    <row r="126" spans="1:4" x14ac:dyDescent="0.2">
      <c r="B126" s="2"/>
      <c r="C126" s="2"/>
      <c r="D126" s="57"/>
    </row>
    <row r="127" spans="1:4" x14ac:dyDescent="0.2">
      <c r="B127" s="2"/>
      <c r="C127" s="2"/>
      <c r="D127" s="57"/>
    </row>
    <row r="128" spans="1:4" x14ac:dyDescent="0.2">
      <c r="B128" s="2"/>
      <c r="C128" s="2"/>
      <c r="D128" s="57"/>
    </row>
    <row r="129" spans="1:4" x14ac:dyDescent="0.2">
      <c r="A129" s="3" t="s">
        <v>155</v>
      </c>
      <c r="B129" s="2"/>
      <c r="C129" s="102">
        <f>F129+I129+L129+O129+R129+U129+X129+AA129+AD129+AG129+AJ129+AM129</f>
        <v>0</v>
      </c>
      <c r="D129" s="57"/>
    </row>
    <row r="130" spans="1:4" x14ac:dyDescent="0.2">
      <c r="B130" s="2"/>
      <c r="C130" s="2"/>
      <c r="D130" s="57"/>
    </row>
    <row r="131" spans="1:4" x14ac:dyDescent="0.2">
      <c r="B131" s="2"/>
      <c r="C131" s="2"/>
      <c r="D131" s="57"/>
    </row>
    <row r="132" spans="1:4" x14ac:dyDescent="0.2">
      <c r="B132" s="2"/>
      <c r="C132" s="2"/>
      <c r="D132" s="57"/>
    </row>
    <row r="133" spans="1:4" x14ac:dyDescent="0.2">
      <c r="B133" s="2"/>
      <c r="C133" s="2"/>
      <c r="D133" s="57"/>
    </row>
    <row r="134" spans="1:4" x14ac:dyDescent="0.2">
      <c r="B134" s="2"/>
      <c r="C134" s="2"/>
      <c r="D134" s="57"/>
    </row>
    <row r="135" spans="1:4" x14ac:dyDescent="0.2">
      <c r="B135" s="2"/>
      <c r="C135" s="2"/>
      <c r="D135" s="57"/>
    </row>
    <row r="136" spans="1:4" x14ac:dyDescent="0.2">
      <c r="B136" s="2"/>
      <c r="C136" s="2"/>
      <c r="D136" s="57"/>
    </row>
    <row r="137" spans="1:4" x14ac:dyDescent="0.2">
      <c r="B137" s="2"/>
      <c r="C137" s="2"/>
      <c r="D137" s="2"/>
    </row>
    <row r="138" spans="1:4" x14ac:dyDescent="0.2">
      <c r="B138" s="2"/>
      <c r="C138" s="2"/>
      <c r="D138" s="2"/>
    </row>
    <row r="139" spans="1:4" x14ac:dyDescent="0.2">
      <c r="B139" s="2"/>
      <c r="C139" s="2"/>
      <c r="D139" s="2"/>
    </row>
    <row r="140" spans="1:4" x14ac:dyDescent="0.2">
      <c r="B140" s="2"/>
      <c r="C140" s="2"/>
      <c r="D140" s="2"/>
    </row>
    <row r="141" spans="1:4" x14ac:dyDescent="0.2">
      <c r="B141" s="2"/>
      <c r="C141" s="2"/>
      <c r="D141" s="2"/>
    </row>
    <row r="142" spans="1:4" x14ac:dyDescent="0.2">
      <c r="B142" s="2"/>
      <c r="C142" s="2"/>
      <c r="D142" s="2"/>
    </row>
    <row r="143" spans="1:4" x14ac:dyDescent="0.2">
      <c r="B143" s="2"/>
      <c r="C143" s="2"/>
      <c r="D143" s="2"/>
    </row>
    <row r="144" spans="1:4" x14ac:dyDescent="0.2">
      <c r="B144" s="2"/>
      <c r="C144" s="2"/>
      <c r="D144" s="2"/>
    </row>
    <row r="145" spans="2:4" x14ac:dyDescent="0.2">
      <c r="B145" s="2"/>
      <c r="C145" s="2"/>
      <c r="D145" s="2"/>
    </row>
    <row r="146" spans="2:4" x14ac:dyDescent="0.2">
      <c r="B146" s="2"/>
      <c r="C146" s="2"/>
      <c r="D146" s="2"/>
    </row>
    <row r="147" spans="2:4" x14ac:dyDescent="0.2">
      <c r="B147" s="2"/>
      <c r="C147" s="2"/>
      <c r="D147" s="2"/>
    </row>
    <row r="148" spans="2:4" x14ac:dyDescent="0.2">
      <c r="B148" s="2"/>
      <c r="C148" s="2"/>
      <c r="D148" s="2"/>
    </row>
    <row r="149" spans="2:4" x14ac:dyDescent="0.2">
      <c r="B149" s="2"/>
      <c r="C149" s="2"/>
      <c r="D149" s="2"/>
    </row>
    <row r="150" spans="2:4" x14ac:dyDescent="0.2">
      <c r="B150" s="2"/>
      <c r="C150" s="2"/>
      <c r="D150" s="2"/>
    </row>
    <row r="151" spans="2:4" x14ac:dyDescent="0.2">
      <c r="B151" s="2"/>
      <c r="C151" s="2"/>
      <c r="D151" s="2"/>
    </row>
    <row r="152" spans="2:4" x14ac:dyDescent="0.2">
      <c r="B152" s="2"/>
      <c r="C152" s="2"/>
      <c r="D152" s="2"/>
    </row>
    <row r="153" spans="2:4" x14ac:dyDescent="0.2">
      <c r="B153" s="2"/>
      <c r="C153" s="2"/>
      <c r="D153" s="2"/>
    </row>
    <row r="154" spans="2:4" x14ac:dyDescent="0.2">
      <c r="B154" s="2"/>
      <c r="C154" s="2"/>
      <c r="D154" s="2"/>
    </row>
    <row r="155" spans="2:4" x14ac:dyDescent="0.2">
      <c r="B155" s="2"/>
      <c r="C155" s="2"/>
      <c r="D155" s="2"/>
    </row>
    <row r="156" spans="2:4" x14ac:dyDescent="0.2">
      <c r="B156" s="2"/>
      <c r="C156" s="2"/>
      <c r="D156" s="2"/>
    </row>
    <row r="157" spans="2:4" x14ac:dyDescent="0.2">
      <c r="B157" s="2"/>
      <c r="C157" s="2"/>
      <c r="D157" s="2"/>
    </row>
    <row r="158" spans="2:4" x14ac:dyDescent="0.2">
      <c r="B158" s="2"/>
      <c r="C158" s="2"/>
      <c r="D158" s="2"/>
    </row>
    <row r="159" spans="2:4" x14ac:dyDescent="0.2">
      <c r="B159" s="2"/>
      <c r="C159" s="2"/>
      <c r="D159" s="2"/>
    </row>
    <row r="160" spans="2:4" x14ac:dyDescent="0.2">
      <c r="B160" s="2"/>
      <c r="C160" s="2"/>
      <c r="D160" s="2"/>
    </row>
    <row r="161" spans="2:4" x14ac:dyDescent="0.2">
      <c r="B161" s="2"/>
      <c r="C161" s="2"/>
      <c r="D161" s="2"/>
    </row>
    <row r="162" spans="2:4" x14ac:dyDescent="0.2">
      <c r="B162" s="2"/>
      <c r="C162" s="2"/>
      <c r="D162" s="2"/>
    </row>
    <row r="163" spans="2:4" x14ac:dyDescent="0.2">
      <c r="B163" s="2"/>
      <c r="C163" s="2"/>
      <c r="D163" s="2"/>
    </row>
    <row r="164" spans="2:4" x14ac:dyDescent="0.2">
      <c r="B164" s="2"/>
      <c r="C164" s="2"/>
      <c r="D164" s="2"/>
    </row>
  </sheetData>
  <mergeCells count="12">
    <mergeCell ref="U3:W3"/>
    <mergeCell ref="AM3:AO3"/>
    <mergeCell ref="F3:H3"/>
    <mergeCell ref="I3:K3"/>
    <mergeCell ref="L3:N3"/>
    <mergeCell ref="O3:Q3"/>
    <mergeCell ref="R3:T3"/>
    <mergeCell ref="X3:Z3"/>
    <mergeCell ref="AA3:AC3"/>
    <mergeCell ref="AD3:AF3"/>
    <mergeCell ref="AG3:AI3"/>
    <mergeCell ref="AJ3:AL3"/>
  </mergeCells>
  <printOptions horizontalCentered="1"/>
  <pageMargins left="0.19685039370078741" right="3.937007874015748E-2" top="0.18" bottom="0.18" header="0" footer="0"/>
  <pageSetup paperSize="9" scale="49" firstPageNumber="2" fitToWidth="3" orientation="portrait" r:id="rId1"/>
  <headerFooter alignWithMargins="0"/>
  <colBreaks count="2" manualBreakCount="2">
    <brk id="14" max="100" man="1"/>
    <brk id="29" max="100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A165"/>
  <sheetViews>
    <sheetView workbookViewId="0">
      <selection activeCell="C5" sqref="C5"/>
    </sheetView>
  </sheetViews>
  <sheetFormatPr baseColWidth="10" defaultColWidth="12.42578125" defaultRowHeight="15" x14ac:dyDescent="0.2"/>
  <cols>
    <col min="1" max="1" width="44.7109375" style="3" customWidth="1"/>
    <col min="2" max="2" width="9" style="3" hidden="1" customWidth="1"/>
    <col min="3" max="3" width="16.28515625" style="3" customWidth="1"/>
    <col min="4" max="4" width="16.28515625" style="3" hidden="1" customWidth="1"/>
    <col min="5" max="5" width="12.42578125" style="3" customWidth="1"/>
    <col min="6" max="6" width="14.85546875" style="3" customWidth="1"/>
    <col min="7" max="7" width="15.85546875" style="3" customWidth="1"/>
    <col min="8" max="8" width="14.85546875" style="3" customWidth="1"/>
    <col min="9" max="9" width="15.5703125" style="3" bestFit="1" customWidth="1"/>
    <col min="10" max="10" width="15.85546875" style="3" customWidth="1"/>
    <col min="11" max="11" width="14" style="3" bestFit="1" customWidth="1"/>
    <col min="12" max="12" width="14.85546875" style="3" customWidth="1"/>
    <col min="13" max="13" width="10.85546875" style="3" bestFit="1" customWidth="1"/>
    <col min="14" max="15" width="14.85546875" style="3" customWidth="1"/>
    <col min="16" max="16" width="10.85546875" style="3" bestFit="1" customWidth="1"/>
    <col min="17" max="17" width="14.85546875" style="3" customWidth="1"/>
    <col min="18" max="18" width="13.42578125" style="3" customWidth="1"/>
    <col min="19" max="19" width="10.85546875" style="3" customWidth="1"/>
    <col min="20" max="20" width="13.42578125" style="3" customWidth="1"/>
    <col min="21" max="21" width="13.42578125" style="3" bestFit="1" customWidth="1"/>
    <col min="22" max="22" width="10.85546875" style="3" bestFit="1" customWidth="1"/>
    <col min="23" max="23" width="13.42578125" style="3" bestFit="1" customWidth="1"/>
    <col min="24" max="24" width="12.5703125" style="3" bestFit="1" customWidth="1"/>
    <col min="25" max="25" width="10.85546875" style="3" bestFit="1" customWidth="1"/>
    <col min="26" max="26" width="12.5703125" style="3" bestFit="1" customWidth="1"/>
    <col min="27" max="27" width="11.5703125" style="3" bestFit="1" customWidth="1"/>
    <col min="28" max="28" width="10.85546875" style="3" bestFit="1" customWidth="1"/>
    <col min="29" max="29" width="11.5703125" style="3" bestFit="1" customWidth="1"/>
    <col min="30" max="31" width="10.85546875" style="3" bestFit="1" customWidth="1"/>
    <col min="32" max="32" width="10.5703125" style="3" bestFit="1" customWidth="1"/>
    <col min="33" max="34" width="10.85546875" style="3" bestFit="1" customWidth="1"/>
    <col min="35" max="35" width="10.5703125" style="3" customWidth="1"/>
    <col min="36" max="36" width="12" style="3" bestFit="1" customWidth="1"/>
    <col min="37" max="37" width="10.85546875" style="3" bestFit="1" customWidth="1"/>
    <col min="38" max="38" width="12" style="3" bestFit="1" customWidth="1"/>
    <col min="39" max="40" width="10.85546875" style="3" bestFit="1" customWidth="1"/>
    <col min="41" max="41" width="10.5703125" style="3" bestFit="1" customWidth="1"/>
    <col min="42" max="235" width="12.42578125" style="3" customWidth="1"/>
    <col min="236" max="16384" width="12.42578125" style="58"/>
  </cols>
  <sheetData>
    <row r="1" spans="1:41" ht="30" x14ac:dyDescent="0.4">
      <c r="A1" s="1" t="s">
        <v>39</v>
      </c>
      <c r="B1" s="2"/>
      <c r="C1" s="2"/>
      <c r="D1" s="2"/>
    </row>
    <row r="2" spans="1:41" ht="6.95" customHeight="1" x14ac:dyDescent="0.2">
      <c r="B2" s="2"/>
      <c r="C2" s="2"/>
      <c r="D2" s="2"/>
    </row>
    <row r="3" spans="1:41" x14ac:dyDescent="0.2">
      <c r="A3" s="4" t="s">
        <v>0</v>
      </c>
      <c r="B3" s="115"/>
      <c r="C3" s="115"/>
      <c r="D3" s="115"/>
      <c r="F3" s="162" t="s">
        <v>41</v>
      </c>
      <c r="G3" s="162"/>
      <c r="H3" s="162"/>
      <c r="I3" s="163" t="s">
        <v>43</v>
      </c>
      <c r="J3" s="163"/>
      <c r="K3" s="163"/>
      <c r="L3" s="162" t="s">
        <v>44</v>
      </c>
      <c r="M3" s="162"/>
      <c r="N3" s="162"/>
      <c r="O3" s="163" t="s">
        <v>45</v>
      </c>
      <c r="P3" s="163"/>
      <c r="Q3" s="163"/>
      <c r="R3" s="162" t="s">
        <v>46</v>
      </c>
      <c r="S3" s="162"/>
      <c r="T3" s="162"/>
      <c r="U3" s="163" t="s">
        <v>47</v>
      </c>
      <c r="V3" s="163"/>
      <c r="W3" s="163"/>
      <c r="X3" s="162" t="s">
        <v>48</v>
      </c>
      <c r="Y3" s="162"/>
      <c r="Z3" s="162"/>
      <c r="AA3" s="163" t="s">
        <v>49</v>
      </c>
      <c r="AB3" s="163"/>
      <c r="AC3" s="163"/>
      <c r="AD3" s="162" t="s">
        <v>50</v>
      </c>
      <c r="AE3" s="162"/>
      <c r="AF3" s="162"/>
      <c r="AG3" s="163" t="s">
        <v>52</v>
      </c>
      <c r="AH3" s="163"/>
      <c r="AI3" s="163"/>
      <c r="AJ3" s="162" t="s">
        <v>51</v>
      </c>
      <c r="AK3" s="162"/>
      <c r="AL3" s="162"/>
      <c r="AM3" s="163" t="s">
        <v>123</v>
      </c>
      <c r="AN3" s="163"/>
      <c r="AO3" s="163"/>
    </row>
    <row r="4" spans="1:41" x14ac:dyDescent="0.2">
      <c r="A4" s="6" t="s">
        <v>1</v>
      </c>
      <c r="B4" s="115"/>
      <c r="C4" s="7">
        <v>2012</v>
      </c>
      <c r="D4" s="8" t="s">
        <v>2</v>
      </c>
      <c r="F4" s="62" t="s">
        <v>121</v>
      </c>
      <c r="G4" s="63" t="s">
        <v>38</v>
      </c>
      <c r="H4" s="63" t="s">
        <v>40</v>
      </c>
      <c r="I4" s="61" t="s">
        <v>121</v>
      </c>
      <c r="J4" s="60" t="s">
        <v>38</v>
      </c>
      <c r="K4" s="60" t="s">
        <v>40</v>
      </c>
      <c r="L4" s="62" t="s">
        <v>121</v>
      </c>
      <c r="M4" s="63" t="s">
        <v>38</v>
      </c>
      <c r="N4" s="63" t="s">
        <v>40</v>
      </c>
      <c r="O4" s="61" t="s">
        <v>121</v>
      </c>
      <c r="P4" s="60" t="s">
        <v>38</v>
      </c>
      <c r="Q4" s="60" t="s">
        <v>40</v>
      </c>
      <c r="R4" s="62" t="s">
        <v>121</v>
      </c>
      <c r="S4" s="63" t="s">
        <v>38</v>
      </c>
      <c r="T4" s="63" t="s">
        <v>40</v>
      </c>
      <c r="U4" s="61" t="s">
        <v>121</v>
      </c>
      <c r="V4" s="60" t="s">
        <v>38</v>
      </c>
      <c r="W4" s="60" t="s">
        <v>40</v>
      </c>
      <c r="X4" s="62" t="s">
        <v>121</v>
      </c>
      <c r="Y4" s="63" t="s">
        <v>38</v>
      </c>
      <c r="Z4" s="63" t="s">
        <v>40</v>
      </c>
      <c r="AA4" s="61" t="s">
        <v>121</v>
      </c>
      <c r="AB4" s="60" t="s">
        <v>38</v>
      </c>
      <c r="AC4" s="60" t="s">
        <v>40</v>
      </c>
      <c r="AD4" s="62" t="s">
        <v>121</v>
      </c>
      <c r="AE4" s="63" t="s">
        <v>38</v>
      </c>
      <c r="AF4" s="63" t="s">
        <v>40</v>
      </c>
      <c r="AG4" s="61" t="s">
        <v>121</v>
      </c>
      <c r="AH4" s="60" t="s">
        <v>38</v>
      </c>
      <c r="AI4" s="60" t="s">
        <v>40</v>
      </c>
      <c r="AJ4" s="62" t="s">
        <v>121</v>
      </c>
      <c r="AK4" s="63" t="s">
        <v>38</v>
      </c>
      <c r="AL4" s="63" t="s">
        <v>40</v>
      </c>
      <c r="AM4" s="61" t="s">
        <v>121</v>
      </c>
      <c r="AN4" s="60" t="s">
        <v>38</v>
      </c>
      <c r="AO4" s="60" t="s">
        <v>40</v>
      </c>
    </row>
    <row r="5" spans="1:41" ht="17.100000000000001" customHeight="1" x14ac:dyDescent="0.25">
      <c r="A5" s="9" t="s">
        <v>3</v>
      </c>
      <c r="B5" s="10" t="s">
        <v>4</v>
      </c>
      <c r="C5" s="11"/>
      <c r="D5" s="11" t="s">
        <v>2</v>
      </c>
      <c r="F5" s="65"/>
      <c r="G5" s="65"/>
      <c r="H5" s="65"/>
      <c r="I5" s="66"/>
      <c r="J5" s="66"/>
      <c r="K5" s="66"/>
      <c r="L5" s="65"/>
      <c r="M5" s="65"/>
      <c r="N5" s="65"/>
      <c r="O5" s="66"/>
      <c r="P5" s="66"/>
      <c r="Q5" s="66"/>
      <c r="R5" s="65"/>
      <c r="S5" s="65"/>
      <c r="T5" s="65"/>
      <c r="U5" s="66"/>
      <c r="V5" s="66"/>
      <c r="W5" s="66"/>
      <c r="X5" s="65"/>
      <c r="Y5" s="65"/>
      <c r="Z5" s="65"/>
      <c r="AA5" s="66"/>
      <c r="AB5" s="66"/>
      <c r="AC5" s="66"/>
      <c r="AD5" s="65"/>
      <c r="AE5" s="65"/>
      <c r="AF5" s="65"/>
      <c r="AG5" s="66"/>
      <c r="AH5" s="66"/>
      <c r="AI5" s="66"/>
      <c r="AJ5" s="65"/>
      <c r="AK5" s="65"/>
      <c r="AL5" s="65"/>
      <c r="AM5" s="66"/>
      <c r="AN5" s="66"/>
      <c r="AO5" s="66"/>
    </row>
    <row r="6" spans="1:41" ht="9" customHeight="1" x14ac:dyDescent="0.2">
      <c r="A6" s="12"/>
      <c r="B6" s="13"/>
      <c r="C6" s="12"/>
      <c r="D6" s="12"/>
      <c r="F6" s="65"/>
      <c r="G6" s="65"/>
      <c r="H6" s="65"/>
      <c r="I6" s="66"/>
      <c r="J6" s="66"/>
      <c r="K6" s="66"/>
      <c r="L6" s="65"/>
      <c r="M6" s="65"/>
      <c r="N6" s="65"/>
      <c r="O6" s="66"/>
      <c r="P6" s="66"/>
      <c r="Q6" s="66"/>
      <c r="R6" s="65"/>
      <c r="S6" s="65"/>
      <c r="T6" s="65"/>
      <c r="U6" s="66"/>
      <c r="V6" s="66"/>
      <c r="W6" s="66"/>
      <c r="X6" s="65"/>
      <c r="Y6" s="65"/>
      <c r="Z6" s="65"/>
      <c r="AA6" s="66"/>
      <c r="AB6" s="66"/>
      <c r="AC6" s="66"/>
      <c r="AD6" s="65"/>
      <c r="AE6" s="65"/>
      <c r="AF6" s="65"/>
      <c r="AG6" s="66"/>
      <c r="AH6" s="66"/>
      <c r="AI6" s="66"/>
      <c r="AJ6" s="65"/>
      <c r="AK6" s="65"/>
      <c r="AL6" s="65"/>
      <c r="AM6" s="66"/>
      <c r="AN6" s="66"/>
      <c r="AO6" s="66"/>
    </row>
    <row r="7" spans="1:41" ht="17.25" customHeight="1" x14ac:dyDescent="0.2">
      <c r="A7" s="64" t="s">
        <v>82</v>
      </c>
      <c r="B7" s="13"/>
      <c r="C7" s="14">
        <f>H7+K7+N7+Q7+T7+W7+Z7+AC7+AF7+AI7+AL7</f>
        <v>325575</v>
      </c>
      <c r="D7" s="14">
        <v>60000</v>
      </c>
      <c r="F7" s="65">
        <v>5091</v>
      </c>
      <c r="G7" s="65"/>
      <c r="H7" s="65">
        <f t="shared" ref="H7:H41" si="0">F7+G7</f>
        <v>5091</v>
      </c>
      <c r="I7" s="66">
        <v>92650</v>
      </c>
      <c r="J7" s="66"/>
      <c r="K7" s="66">
        <f t="shared" ref="K7:K41" si="1">I7+J7</f>
        <v>92650</v>
      </c>
      <c r="L7" s="65">
        <v>125912</v>
      </c>
      <c r="M7" s="65"/>
      <c r="N7" s="65">
        <f t="shared" ref="N7:N41" si="2">L7+M7</f>
        <v>125912</v>
      </c>
      <c r="O7" s="66">
        <v>82220</v>
      </c>
      <c r="P7" s="66"/>
      <c r="Q7" s="66">
        <f t="shared" ref="Q7:Q41" si="3">O7+P7</f>
        <v>82220</v>
      </c>
      <c r="R7" s="65">
        <v>19052</v>
      </c>
      <c r="S7" s="65"/>
      <c r="T7" s="65">
        <f t="shared" ref="T7:T41" si="4">R7+S7</f>
        <v>19052</v>
      </c>
      <c r="U7" s="66"/>
      <c r="V7" s="66"/>
      <c r="W7" s="66">
        <f t="shared" ref="W7:W41" si="5">U7+V7</f>
        <v>0</v>
      </c>
      <c r="X7" s="65"/>
      <c r="Y7" s="65"/>
      <c r="Z7" s="65">
        <f t="shared" ref="Z7:Z41" si="6">X7+Y7</f>
        <v>0</v>
      </c>
      <c r="AA7" s="66"/>
      <c r="AB7" s="66"/>
      <c r="AC7" s="66">
        <f t="shared" ref="AC7:AC41" si="7">AA7+AB7</f>
        <v>0</v>
      </c>
      <c r="AD7" s="65">
        <v>650</v>
      </c>
      <c r="AE7" s="65"/>
      <c r="AF7" s="65">
        <f t="shared" ref="AF7:AF41" si="8">AD7+AE7</f>
        <v>650</v>
      </c>
      <c r="AG7" s="66"/>
      <c r="AH7" s="66"/>
      <c r="AI7" s="66">
        <f t="shared" ref="AI7:AI41" si="9">AG7+AH7</f>
        <v>0</v>
      </c>
      <c r="AJ7" s="65"/>
      <c r="AK7" s="65"/>
      <c r="AL7" s="65">
        <f t="shared" ref="AL7:AL41" si="10">AJ7+AK7</f>
        <v>0</v>
      </c>
      <c r="AM7" s="66"/>
      <c r="AN7" s="66"/>
      <c r="AO7" s="66">
        <f t="shared" ref="AO7" si="11">AM7+AN7</f>
        <v>0</v>
      </c>
    </row>
    <row r="8" spans="1:41" ht="17.25" customHeight="1" x14ac:dyDescent="0.2">
      <c r="A8" s="64" t="s">
        <v>96</v>
      </c>
      <c r="B8" s="13"/>
      <c r="C8" s="14">
        <f t="shared" ref="C8:C10" si="12">H8+K8+N8+Q8+T8+W8+Z8+AC8+AF8+AI8+AL8</f>
        <v>93554</v>
      </c>
      <c r="D8" s="14"/>
      <c r="F8" s="65"/>
      <c r="G8" s="65"/>
      <c r="H8" s="65">
        <f t="shared" si="0"/>
        <v>0</v>
      </c>
      <c r="I8" s="66">
        <v>9300</v>
      </c>
      <c r="J8" s="66"/>
      <c r="K8" s="66">
        <f t="shared" si="1"/>
        <v>9300</v>
      </c>
      <c r="L8" s="65">
        <v>51764</v>
      </c>
      <c r="M8" s="65"/>
      <c r="N8" s="65">
        <f>L8+M8</f>
        <v>51764</v>
      </c>
      <c r="O8" s="66">
        <v>32490</v>
      </c>
      <c r="P8" s="66"/>
      <c r="Q8" s="66">
        <f t="shared" si="3"/>
        <v>32490</v>
      </c>
      <c r="R8" s="65"/>
      <c r="S8" s="65"/>
      <c r="T8" s="65">
        <f t="shared" si="4"/>
        <v>0</v>
      </c>
      <c r="U8" s="66"/>
      <c r="V8" s="66"/>
      <c r="W8" s="66">
        <f t="shared" si="5"/>
        <v>0</v>
      </c>
      <c r="X8" s="65"/>
      <c r="Y8" s="65"/>
      <c r="Z8" s="65">
        <f t="shared" si="6"/>
        <v>0</v>
      </c>
      <c r="AA8" s="66"/>
      <c r="AB8" s="66"/>
      <c r="AC8" s="66">
        <f t="shared" si="7"/>
        <v>0</v>
      </c>
      <c r="AD8" s="65"/>
      <c r="AE8" s="65"/>
      <c r="AF8" s="65"/>
      <c r="AG8" s="66"/>
      <c r="AH8" s="66"/>
      <c r="AI8" s="66"/>
      <c r="AJ8" s="65"/>
      <c r="AK8" s="65"/>
      <c r="AL8" s="65"/>
      <c r="AM8" s="66"/>
      <c r="AN8" s="66"/>
      <c r="AO8" s="66"/>
    </row>
    <row r="9" spans="1:41" ht="17.25" customHeight="1" x14ac:dyDescent="0.2">
      <c r="A9" s="64" t="s">
        <v>84</v>
      </c>
      <c r="B9" s="13"/>
      <c r="C9" s="14">
        <f t="shared" si="12"/>
        <v>115714</v>
      </c>
      <c r="D9" s="14"/>
      <c r="F9" s="65"/>
      <c r="G9" s="65"/>
      <c r="H9" s="65">
        <f t="shared" si="0"/>
        <v>0</v>
      </c>
      <c r="I9" s="66">
        <v>0</v>
      </c>
      <c r="J9" s="66"/>
      <c r="K9" s="66">
        <f t="shared" si="1"/>
        <v>0</v>
      </c>
      <c r="L9" s="65"/>
      <c r="M9" s="65"/>
      <c r="N9" s="65">
        <f>L9+M9</f>
        <v>0</v>
      </c>
      <c r="O9" s="66">
        <v>115714</v>
      </c>
      <c r="P9" s="66"/>
      <c r="Q9" s="66">
        <f t="shared" si="3"/>
        <v>115714</v>
      </c>
      <c r="R9" s="65"/>
      <c r="S9" s="65"/>
      <c r="T9" s="65">
        <f t="shared" si="4"/>
        <v>0</v>
      </c>
      <c r="U9" s="66"/>
      <c r="V9" s="66"/>
      <c r="W9" s="66">
        <f t="shared" si="5"/>
        <v>0</v>
      </c>
      <c r="X9" s="65"/>
      <c r="Y9" s="65"/>
      <c r="Z9" s="65">
        <f t="shared" si="6"/>
        <v>0</v>
      </c>
      <c r="AA9" s="66"/>
      <c r="AB9" s="66"/>
      <c r="AC9" s="66">
        <f t="shared" si="7"/>
        <v>0</v>
      </c>
      <c r="AD9" s="65"/>
      <c r="AE9" s="65"/>
      <c r="AF9" s="65"/>
      <c r="AG9" s="66"/>
      <c r="AH9" s="66"/>
      <c r="AI9" s="66"/>
      <c r="AJ9" s="65"/>
      <c r="AK9" s="65"/>
      <c r="AL9" s="65"/>
      <c r="AM9" s="66"/>
      <c r="AN9" s="66"/>
      <c r="AO9" s="66"/>
    </row>
    <row r="10" spans="1:41" ht="17.25" customHeight="1" x14ac:dyDescent="0.2">
      <c r="A10" s="64" t="s">
        <v>86</v>
      </c>
      <c r="B10" s="13"/>
      <c r="C10" s="14">
        <f t="shared" si="12"/>
        <v>914413</v>
      </c>
      <c r="D10" s="14"/>
      <c r="F10" s="65"/>
      <c r="G10" s="65"/>
      <c r="H10" s="65">
        <f t="shared" si="0"/>
        <v>0</v>
      </c>
      <c r="I10" s="66">
        <v>120950</v>
      </c>
      <c r="J10" s="66"/>
      <c r="K10" s="66">
        <f t="shared" si="1"/>
        <v>120950</v>
      </c>
      <c r="L10" s="65">
        <v>767063</v>
      </c>
      <c r="M10" s="65"/>
      <c r="N10" s="65">
        <f>L10+M10</f>
        <v>767063</v>
      </c>
      <c r="O10" s="66">
        <v>22000</v>
      </c>
      <c r="P10" s="66"/>
      <c r="Q10" s="66">
        <f t="shared" si="3"/>
        <v>22000</v>
      </c>
      <c r="R10" s="65">
        <v>4400</v>
      </c>
      <c r="S10" s="65"/>
      <c r="T10" s="65">
        <f t="shared" si="4"/>
        <v>4400</v>
      </c>
      <c r="U10" s="66"/>
      <c r="V10" s="66"/>
      <c r="W10" s="66">
        <f t="shared" si="5"/>
        <v>0</v>
      </c>
      <c r="X10" s="65"/>
      <c r="Y10" s="65"/>
      <c r="Z10" s="65">
        <f t="shared" si="6"/>
        <v>0</v>
      </c>
      <c r="AA10" s="66"/>
      <c r="AB10" s="66"/>
      <c r="AC10" s="66">
        <f t="shared" si="7"/>
        <v>0</v>
      </c>
      <c r="AD10" s="65"/>
      <c r="AE10" s="65"/>
      <c r="AF10" s="65"/>
      <c r="AG10" s="66"/>
      <c r="AH10" s="66"/>
      <c r="AI10" s="66"/>
      <c r="AJ10" s="65"/>
      <c r="AK10" s="65"/>
      <c r="AL10" s="65"/>
      <c r="AM10" s="66"/>
      <c r="AN10" s="66"/>
      <c r="AO10" s="66"/>
    </row>
    <row r="11" spans="1:41" ht="17.25" customHeight="1" x14ac:dyDescent="0.2">
      <c r="A11" s="64" t="s">
        <v>88</v>
      </c>
      <c r="B11" s="13"/>
      <c r="C11" s="14">
        <f t="shared" ref="C11:C21" si="13">H11+K11+N11+Q11+T11+W11+Z11+AC11+AF11+AI11+AL11+AO11</f>
        <v>110500</v>
      </c>
      <c r="D11" s="14"/>
      <c r="F11" s="65">
        <v>110500</v>
      </c>
      <c r="G11" s="65"/>
      <c r="H11" s="65">
        <f t="shared" si="0"/>
        <v>110500</v>
      </c>
      <c r="I11" s="66"/>
      <c r="J11" s="66"/>
      <c r="K11" s="66">
        <f t="shared" si="1"/>
        <v>0</v>
      </c>
      <c r="L11" s="65"/>
      <c r="M11" s="65"/>
      <c r="N11" s="65">
        <f t="shared" si="2"/>
        <v>0</v>
      </c>
      <c r="O11" s="66"/>
      <c r="P11" s="66"/>
      <c r="Q11" s="66">
        <f t="shared" si="3"/>
        <v>0</v>
      </c>
      <c r="R11" s="65"/>
      <c r="S11" s="65"/>
      <c r="T11" s="65">
        <f t="shared" si="4"/>
        <v>0</v>
      </c>
      <c r="U11" s="66"/>
      <c r="V11" s="66"/>
      <c r="W11" s="66">
        <f t="shared" si="5"/>
        <v>0</v>
      </c>
      <c r="X11" s="65"/>
      <c r="Y11" s="65"/>
      <c r="Z11" s="65">
        <f t="shared" si="6"/>
        <v>0</v>
      </c>
      <c r="AA11" s="66"/>
      <c r="AB11" s="66"/>
      <c r="AC11" s="66">
        <f t="shared" si="7"/>
        <v>0</v>
      </c>
      <c r="AD11" s="65"/>
      <c r="AE11" s="65"/>
      <c r="AF11" s="65">
        <f t="shared" si="8"/>
        <v>0</v>
      </c>
      <c r="AG11" s="66"/>
      <c r="AH11" s="66"/>
      <c r="AI11" s="66">
        <f t="shared" si="9"/>
        <v>0</v>
      </c>
      <c r="AJ11" s="65"/>
      <c r="AK11" s="65"/>
      <c r="AL11" s="65">
        <f t="shared" si="10"/>
        <v>0</v>
      </c>
      <c r="AM11" s="66"/>
      <c r="AN11" s="66"/>
      <c r="AO11" s="66">
        <f t="shared" ref="AO11" si="14">AM11+AN11</f>
        <v>0</v>
      </c>
    </row>
    <row r="12" spans="1:41" ht="17.25" customHeight="1" x14ac:dyDescent="0.2">
      <c r="A12" s="64" t="s">
        <v>58</v>
      </c>
      <c r="B12" s="13"/>
      <c r="C12" s="14">
        <f t="shared" si="13"/>
        <v>81155</v>
      </c>
      <c r="D12" s="14"/>
      <c r="F12" s="65">
        <v>76881</v>
      </c>
      <c r="G12" s="65"/>
      <c r="H12" s="65">
        <f t="shared" si="0"/>
        <v>76881</v>
      </c>
      <c r="I12" s="66"/>
      <c r="J12" s="66"/>
      <c r="K12" s="66">
        <f t="shared" si="1"/>
        <v>0</v>
      </c>
      <c r="L12" s="65"/>
      <c r="M12" s="65"/>
      <c r="N12" s="65">
        <f>L12+M12</f>
        <v>0</v>
      </c>
      <c r="O12" s="66"/>
      <c r="P12" s="66"/>
      <c r="Q12" s="66">
        <f t="shared" si="3"/>
        <v>0</v>
      </c>
      <c r="R12" s="65"/>
      <c r="S12" s="65"/>
      <c r="T12" s="65">
        <f t="shared" si="4"/>
        <v>0</v>
      </c>
      <c r="U12" s="66"/>
      <c r="V12" s="66"/>
      <c r="W12" s="66">
        <f t="shared" si="5"/>
        <v>0</v>
      </c>
      <c r="X12" s="65">
        <v>4274</v>
      </c>
      <c r="Y12" s="65"/>
      <c r="Z12" s="65">
        <f t="shared" si="6"/>
        <v>4274</v>
      </c>
      <c r="AA12" s="66"/>
      <c r="AB12" s="66"/>
      <c r="AC12" s="66">
        <f t="shared" si="7"/>
        <v>0</v>
      </c>
      <c r="AD12" s="65"/>
      <c r="AE12" s="65"/>
      <c r="AF12" s="65"/>
      <c r="AG12" s="66"/>
      <c r="AH12" s="66"/>
      <c r="AI12" s="66"/>
      <c r="AJ12" s="65"/>
      <c r="AK12" s="65"/>
      <c r="AL12" s="65"/>
      <c r="AM12" s="66"/>
      <c r="AN12" s="66"/>
      <c r="AO12" s="66"/>
    </row>
    <row r="13" spans="1:41" ht="17.25" customHeight="1" x14ac:dyDescent="0.2">
      <c r="A13" s="64" t="s">
        <v>59</v>
      </c>
      <c r="B13" s="13"/>
      <c r="C13" s="14">
        <f t="shared" si="13"/>
        <v>6000</v>
      </c>
      <c r="D13" s="14"/>
      <c r="F13" s="65">
        <v>385500</v>
      </c>
      <c r="G13" s="65">
        <v>-385500</v>
      </c>
      <c r="H13" s="65">
        <f t="shared" si="0"/>
        <v>0</v>
      </c>
      <c r="I13" s="66">
        <v>306000</v>
      </c>
      <c r="J13" s="66">
        <v>-300000</v>
      </c>
      <c r="K13" s="66">
        <f t="shared" si="1"/>
        <v>6000</v>
      </c>
      <c r="L13" s="65"/>
      <c r="M13" s="65"/>
      <c r="N13" s="65">
        <f t="shared" si="2"/>
        <v>0</v>
      </c>
      <c r="O13" s="69">
        <v>0</v>
      </c>
      <c r="P13" s="66">
        <v>0</v>
      </c>
      <c r="Q13" s="66">
        <f t="shared" si="3"/>
        <v>0</v>
      </c>
      <c r="R13" s="65"/>
      <c r="S13" s="65"/>
      <c r="T13" s="65">
        <f t="shared" si="4"/>
        <v>0</v>
      </c>
      <c r="U13" s="66"/>
      <c r="V13" s="66"/>
      <c r="W13" s="66">
        <f t="shared" si="5"/>
        <v>0</v>
      </c>
      <c r="X13" s="65"/>
      <c r="Y13" s="65"/>
      <c r="Z13" s="65">
        <f t="shared" si="6"/>
        <v>0</v>
      </c>
      <c r="AA13" s="66"/>
      <c r="AB13" s="66"/>
      <c r="AC13" s="66">
        <f t="shared" si="7"/>
        <v>0</v>
      </c>
      <c r="AD13" s="65"/>
      <c r="AE13" s="65"/>
      <c r="AF13" s="65">
        <f t="shared" si="8"/>
        <v>0</v>
      </c>
      <c r="AG13" s="66"/>
      <c r="AH13" s="66"/>
      <c r="AI13" s="66">
        <f t="shared" si="9"/>
        <v>0</v>
      </c>
      <c r="AJ13" s="65"/>
      <c r="AK13" s="65"/>
      <c r="AL13" s="65">
        <f t="shared" si="10"/>
        <v>0</v>
      </c>
      <c r="AM13" s="66"/>
      <c r="AN13" s="66"/>
      <c r="AO13" s="66">
        <f t="shared" ref="AO13:AO21" si="15">AM13+AN13</f>
        <v>0</v>
      </c>
    </row>
    <row r="14" spans="1:41" ht="17.25" customHeight="1" x14ac:dyDescent="0.2">
      <c r="A14" s="64" t="s">
        <v>87</v>
      </c>
      <c r="B14" s="13"/>
      <c r="C14" s="14">
        <f t="shared" si="13"/>
        <v>28250</v>
      </c>
      <c r="D14" s="14">
        <v>80000</v>
      </c>
      <c r="F14" s="65">
        <v>28250</v>
      </c>
      <c r="G14" s="65"/>
      <c r="H14" s="65">
        <f t="shared" si="0"/>
        <v>28250</v>
      </c>
      <c r="I14" s="66"/>
      <c r="J14" s="66"/>
      <c r="K14" s="66">
        <f t="shared" si="1"/>
        <v>0</v>
      </c>
      <c r="L14" s="65"/>
      <c r="M14" s="65"/>
      <c r="N14" s="65">
        <f t="shared" si="2"/>
        <v>0</v>
      </c>
      <c r="O14" s="66"/>
      <c r="P14" s="66"/>
      <c r="Q14" s="66">
        <f t="shared" si="3"/>
        <v>0</v>
      </c>
      <c r="R14" s="65"/>
      <c r="S14" s="65"/>
      <c r="T14" s="65">
        <f t="shared" si="4"/>
        <v>0</v>
      </c>
      <c r="U14" s="66"/>
      <c r="V14" s="66"/>
      <c r="W14" s="66">
        <f t="shared" si="5"/>
        <v>0</v>
      </c>
      <c r="X14" s="65"/>
      <c r="Y14" s="65"/>
      <c r="Z14" s="65">
        <f t="shared" si="6"/>
        <v>0</v>
      </c>
      <c r="AA14" s="66"/>
      <c r="AB14" s="66"/>
      <c r="AC14" s="66">
        <f t="shared" si="7"/>
        <v>0</v>
      </c>
      <c r="AD14" s="65"/>
      <c r="AE14" s="65"/>
      <c r="AF14" s="65">
        <f t="shared" si="8"/>
        <v>0</v>
      </c>
      <c r="AG14" s="66"/>
      <c r="AH14" s="66"/>
      <c r="AI14" s="66">
        <f t="shared" si="9"/>
        <v>0</v>
      </c>
      <c r="AJ14" s="65"/>
      <c r="AK14" s="65"/>
      <c r="AL14" s="65">
        <f t="shared" si="10"/>
        <v>0</v>
      </c>
      <c r="AM14" s="66"/>
      <c r="AN14" s="66"/>
      <c r="AO14" s="66">
        <f t="shared" si="15"/>
        <v>0</v>
      </c>
    </row>
    <row r="15" spans="1:41" ht="17.25" customHeight="1" x14ac:dyDescent="0.2">
      <c r="A15" s="64" t="s">
        <v>53</v>
      </c>
      <c r="B15" s="13"/>
      <c r="C15" s="14">
        <f t="shared" si="13"/>
        <v>415506</v>
      </c>
      <c r="D15" s="14">
        <v>45000</v>
      </c>
      <c r="F15" s="65"/>
      <c r="G15" s="65"/>
      <c r="H15" s="65">
        <f t="shared" si="0"/>
        <v>0</v>
      </c>
      <c r="I15" s="66">
        <v>278706</v>
      </c>
      <c r="J15" s="66"/>
      <c r="K15" s="66">
        <f t="shared" si="1"/>
        <v>278706</v>
      </c>
      <c r="L15" s="65"/>
      <c r="M15" s="65"/>
      <c r="N15" s="65">
        <f t="shared" si="2"/>
        <v>0</v>
      </c>
      <c r="O15" s="66">
        <v>97600</v>
      </c>
      <c r="P15" s="66"/>
      <c r="Q15" s="66">
        <f t="shared" si="3"/>
        <v>97600</v>
      </c>
      <c r="R15" s="65"/>
      <c r="S15" s="65"/>
      <c r="T15" s="65">
        <f t="shared" si="4"/>
        <v>0</v>
      </c>
      <c r="U15" s="66">
        <v>25900</v>
      </c>
      <c r="V15" s="66"/>
      <c r="W15" s="66">
        <f t="shared" si="5"/>
        <v>25900</v>
      </c>
      <c r="X15" s="65">
        <v>7600</v>
      </c>
      <c r="Y15" s="65"/>
      <c r="Z15" s="65">
        <f t="shared" si="6"/>
        <v>7600</v>
      </c>
      <c r="AA15" s="66">
        <v>1500</v>
      </c>
      <c r="AB15" s="66"/>
      <c r="AC15" s="66">
        <f t="shared" si="7"/>
        <v>1500</v>
      </c>
      <c r="AD15" s="65"/>
      <c r="AE15" s="65"/>
      <c r="AF15" s="65">
        <f t="shared" si="8"/>
        <v>0</v>
      </c>
      <c r="AG15" s="66"/>
      <c r="AH15" s="66"/>
      <c r="AI15" s="66">
        <f t="shared" si="9"/>
        <v>0</v>
      </c>
      <c r="AJ15" s="65">
        <v>4200</v>
      </c>
      <c r="AK15" s="65"/>
      <c r="AL15" s="65">
        <f t="shared" si="10"/>
        <v>4200</v>
      </c>
      <c r="AM15" s="66"/>
      <c r="AN15" s="66"/>
      <c r="AO15" s="66">
        <f t="shared" si="15"/>
        <v>0</v>
      </c>
    </row>
    <row r="16" spans="1:41" ht="17.25" customHeight="1" x14ac:dyDescent="0.2">
      <c r="A16" s="64" t="s">
        <v>54</v>
      </c>
      <c r="B16" s="13"/>
      <c r="C16" s="14">
        <f t="shared" si="13"/>
        <v>385384</v>
      </c>
      <c r="D16" s="14">
        <v>3000</v>
      </c>
      <c r="F16" s="65">
        <v>146000</v>
      </c>
      <c r="G16" s="65"/>
      <c r="H16" s="65">
        <f t="shared" si="0"/>
        <v>146000</v>
      </c>
      <c r="I16" s="66">
        <v>159384</v>
      </c>
      <c r="J16" s="66"/>
      <c r="K16" s="66">
        <f t="shared" si="1"/>
        <v>159384</v>
      </c>
      <c r="L16" s="65">
        <v>55000</v>
      </c>
      <c r="M16" s="65"/>
      <c r="N16" s="65">
        <f t="shared" si="2"/>
        <v>55000</v>
      </c>
      <c r="O16" s="66">
        <v>10000</v>
      </c>
      <c r="P16" s="66"/>
      <c r="Q16" s="66">
        <f t="shared" si="3"/>
        <v>10000</v>
      </c>
      <c r="R16" s="65">
        <v>15000</v>
      </c>
      <c r="S16" s="65"/>
      <c r="T16" s="65">
        <f t="shared" si="4"/>
        <v>15000</v>
      </c>
      <c r="U16" s="66"/>
      <c r="V16" s="66"/>
      <c r="W16" s="66">
        <f t="shared" si="5"/>
        <v>0</v>
      </c>
      <c r="X16" s="65"/>
      <c r="Y16" s="65"/>
      <c r="Z16" s="65">
        <f t="shared" si="6"/>
        <v>0</v>
      </c>
      <c r="AA16" s="66"/>
      <c r="AB16" s="66"/>
      <c r="AC16" s="66">
        <f t="shared" si="7"/>
        <v>0</v>
      </c>
      <c r="AD16" s="65"/>
      <c r="AE16" s="65"/>
      <c r="AF16" s="65">
        <f t="shared" si="8"/>
        <v>0</v>
      </c>
      <c r="AG16" s="66"/>
      <c r="AH16" s="66"/>
      <c r="AI16" s="66">
        <f t="shared" si="9"/>
        <v>0</v>
      </c>
      <c r="AJ16" s="65"/>
      <c r="AK16" s="65"/>
      <c r="AL16" s="65">
        <f t="shared" si="10"/>
        <v>0</v>
      </c>
      <c r="AM16" s="66"/>
      <c r="AN16" s="66"/>
      <c r="AO16" s="66">
        <f t="shared" si="15"/>
        <v>0</v>
      </c>
    </row>
    <row r="17" spans="1:41" ht="17.25" customHeight="1" x14ac:dyDescent="0.2">
      <c r="A17" s="64" t="s">
        <v>85</v>
      </c>
      <c r="B17" s="13"/>
      <c r="C17" s="14">
        <f t="shared" si="13"/>
        <v>111900</v>
      </c>
      <c r="D17" s="14">
        <v>32000</v>
      </c>
      <c r="F17" s="65"/>
      <c r="G17" s="65"/>
      <c r="H17" s="65">
        <f t="shared" si="0"/>
        <v>0</v>
      </c>
      <c r="I17" s="66">
        <v>18300</v>
      </c>
      <c r="J17" s="66"/>
      <c r="K17" s="66">
        <f t="shared" si="1"/>
        <v>18300</v>
      </c>
      <c r="L17" s="65"/>
      <c r="M17" s="65"/>
      <c r="N17" s="65">
        <f t="shared" si="2"/>
        <v>0</v>
      </c>
      <c r="O17" s="66">
        <v>93600</v>
      </c>
      <c r="P17" s="66"/>
      <c r="Q17" s="66">
        <f t="shared" si="3"/>
        <v>93600</v>
      </c>
      <c r="R17" s="65"/>
      <c r="S17" s="65"/>
      <c r="T17" s="65">
        <f t="shared" si="4"/>
        <v>0</v>
      </c>
      <c r="U17" s="66"/>
      <c r="V17" s="66"/>
      <c r="W17" s="66">
        <f t="shared" si="5"/>
        <v>0</v>
      </c>
      <c r="X17" s="65"/>
      <c r="Y17" s="65"/>
      <c r="Z17" s="65">
        <f t="shared" si="6"/>
        <v>0</v>
      </c>
      <c r="AA17" s="66"/>
      <c r="AB17" s="66"/>
      <c r="AC17" s="66">
        <f t="shared" si="7"/>
        <v>0</v>
      </c>
      <c r="AD17" s="65"/>
      <c r="AE17" s="65"/>
      <c r="AF17" s="65">
        <f t="shared" si="8"/>
        <v>0</v>
      </c>
      <c r="AG17" s="66"/>
      <c r="AH17" s="66"/>
      <c r="AI17" s="66">
        <f t="shared" si="9"/>
        <v>0</v>
      </c>
      <c r="AJ17" s="65"/>
      <c r="AK17" s="65"/>
      <c r="AL17" s="65">
        <f t="shared" si="10"/>
        <v>0</v>
      </c>
      <c r="AM17" s="66"/>
      <c r="AN17" s="66"/>
      <c r="AO17" s="66">
        <f t="shared" si="15"/>
        <v>0</v>
      </c>
    </row>
    <row r="18" spans="1:41" ht="17.25" customHeight="1" x14ac:dyDescent="0.2">
      <c r="A18" s="64" t="s">
        <v>56</v>
      </c>
      <c r="B18" s="13"/>
      <c r="C18" s="14">
        <f t="shared" si="13"/>
        <v>13000</v>
      </c>
      <c r="D18" s="14">
        <v>70000</v>
      </c>
      <c r="F18" s="65">
        <f>1000+12000</f>
        <v>13000</v>
      </c>
      <c r="G18" s="65"/>
      <c r="H18" s="65">
        <f t="shared" si="0"/>
        <v>13000</v>
      </c>
      <c r="I18" s="66"/>
      <c r="J18" s="66"/>
      <c r="K18" s="66">
        <f t="shared" si="1"/>
        <v>0</v>
      </c>
      <c r="L18" s="65"/>
      <c r="M18" s="65"/>
      <c r="N18" s="65">
        <f t="shared" si="2"/>
        <v>0</v>
      </c>
      <c r="O18" s="66"/>
      <c r="P18" s="66"/>
      <c r="Q18" s="66">
        <f t="shared" si="3"/>
        <v>0</v>
      </c>
      <c r="R18" s="65"/>
      <c r="S18" s="65"/>
      <c r="T18" s="65">
        <f t="shared" si="4"/>
        <v>0</v>
      </c>
      <c r="U18" s="66"/>
      <c r="V18" s="66"/>
      <c r="W18" s="66">
        <f t="shared" si="5"/>
        <v>0</v>
      </c>
      <c r="X18" s="65"/>
      <c r="Y18" s="65"/>
      <c r="Z18" s="65">
        <f t="shared" si="6"/>
        <v>0</v>
      </c>
      <c r="AA18" s="66"/>
      <c r="AB18" s="66"/>
      <c r="AC18" s="66">
        <f t="shared" si="7"/>
        <v>0</v>
      </c>
      <c r="AD18" s="65"/>
      <c r="AE18" s="65"/>
      <c r="AF18" s="65">
        <f t="shared" si="8"/>
        <v>0</v>
      </c>
      <c r="AG18" s="66"/>
      <c r="AH18" s="66"/>
      <c r="AI18" s="66">
        <f t="shared" si="9"/>
        <v>0</v>
      </c>
      <c r="AJ18" s="65"/>
      <c r="AK18" s="65"/>
      <c r="AL18" s="65">
        <f t="shared" si="10"/>
        <v>0</v>
      </c>
      <c r="AM18" s="66"/>
      <c r="AN18" s="66"/>
      <c r="AO18" s="66">
        <f t="shared" si="15"/>
        <v>0</v>
      </c>
    </row>
    <row r="19" spans="1:41" ht="17.25" customHeight="1" x14ac:dyDescent="0.2">
      <c r="A19" s="64" t="s">
        <v>122</v>
      </c>
      <c r="B19" s="13"/>
      <c r="C19" s="14">
        <f t="shared" si="13"/>
        <v>42005</v>
      </c>
      <c r="D19" s="14">
        <v>70000</v>
      </c>
      <c r="F19" s="65">
        <v>42005</v>
      </c>
      <c r="G19" s="65"/>
      <c r="H19" s="65">
        <f t="shared" si="0"/>
        <v>42005</v>
      </c>
      <c r="I19" s="66"/>
      <c r="J19" s="66"/>
      <c r="K19" s="66">
        <f t="shared" si="1"/>
        <v>0</v>
      </c>
      <c r="L19" s="65"/>
      <c r="M19" s="65"/>
      <c r="N19" s="65">
        <f t="shared" si="2"/>
        <v>0</v>
      </c>
      <c r="O19" s="66"/>
      <c r="P19" s="66"/>
      <c r="Q19" s="66">
        <f t="shared" si="3"/>
        <v>0</v>
      </c>
      <c r="R19" s="65"/>
      <c r="S19" s="65"/>
      <c r="T19" s="65">
        <f t="shared" si="4"/>
        <v>0</v>
      </c>
      <c r="U19" s="66"/>
      <c r="V19" s="66"/>
      <c r="W19" s="66">
        <f t="shared" si="5"/>
        <v>0</v>
      </c>
      <c r="X19" s="65"/>
      <c r="Y19" s="65"/>
      <c r="Z19" s="65">
        <f t="shared" si="6"/>
        <v>0</v>
      </c>
      <c r="AA19" s="66"/>
      <c r="AB19" s="66"/>
      <c r="AC19" s="66">
        <f t="shared" si="7"/>
        <v>0</v>
      </c>
      <c r="AD19" s="65"/>
      <c r="AE19" s="65"/>
      <c r="AF19" s="65">
        <f t="shared" si="8"/>
        <v>0</v>
      </c>
      <c r="AG19" s="66"/>
      <c r="AH19" s="66"/>
      <c r="AI19" s="66">
        <f t="shared" si="9"/>
        <v>0</v>
      </c>
      <c r="AJ19" s="65"/>
      <c r="AK19" s="65"/>
      <c r="AL19" s="65">
        <f t="shared" si="10"/>
        <v>0</v>
      </c>
      <c r="AM19" s="66"/>
      <c r="AN19" s="66"/>
      <c r="AO19" s="66">
        <f t="shared" si="15"/>
        <v>0</v>
      </c>
    </row>
    <row r="20" spans="1:41" ht="17.25" customHeight="1" x14ac:dyDescent="0.2">
      <c r="A20" s="12" t="s">
        <v>124</v>
      </c>
      <c r="B20" s="13"/>
      <c r="C20" s="14">
        <f t="shared" si="13"/>
        <v>117581</v>
      </c>
      <c r="D20" s="14"/>
      <c r="F20" s="65">
        <v>117581</v>
      </c>
      <c r="G20" s="65"/>
      <c r="H20" s="65">
        <f t="shared" si="0"/>
        <v>117581</v>
      </c>
      <c r="I20" s="66"/>
      <c r="J20" s="66"/>
      <c r="K20" s="66">
        <f t="shared" si="1"/>
        <v>0</v>
      </c>
      <c r="L20" s="65"/>
      <c r="M20" s="65"/>
      <c r="N20" s="65">
        <f t="shared" si="2"/>
        <v>0</v>
      </c>
      <c r="O20" s="66"/>
      <c r="P20" s="66"/>
      <c r="Q20" s="66">
        <f t="shared" si="3"/>
        <v>0</v>
      </c>
      <c r="R20" s="65"/>
      <c r="S20" s="65"/>
      <c r="T20" s="65">
        <f t="shared" si="4"/>
        <v>0</v>
      </c>
      <c r="U20" s="66"/>
      <c r="V20" s="66"/>
      <c r="W20" s="66">
        <f t="shared" si="5"/>
        <v>0</v>
      </c>
      <c r="X20" s="65"/>
      <c r="Y20" s="65"/>
      <c r="Z20" s="65">
        <f t="shared" si="6"/>
        <v>0</v>
      </c>
      <c r="AA20" s="66"/>
      <c r="AB20" s="66"/>
      <c r="AC20" s="66">
        <f t="shared" si="7"/>
        <v>0</v>
      </c>
      <c r="AD20" s="65"/>
      <c r="AE20" s="65"/>
      <c r="AF20" s="65">
        <f t="shared" si="8"/>
        <v>0</v>
      </c>
      <c r="AG20" s="66"/>
      <c r="AH20" s="66"/>
      <c r="AI20" s="66">
        <f t="shared" si="9"/>
        <v>0</v>
      </c>
      <c r="AJ20" s="65"/>
      <c r="AK20" s="65"/>
      <c r="AL20" s="65">
        <f t="shared" si="10"/>
        <v>0</v>
      </c>
      <c r="AM20" s="66"/>
      <c r="AN20" s="66"/>
      <c r="AO20" s="66">
        <f t="shared" si="15"/>
        <v>0</v>
      </c>
    </row>
    <row r="21" spans="1:41" ht="17.25" customHeight="1" x14ac:dyDescent="0.2">
      <c r="A21" s="64" t="s">
        <v>55</v>
      </c>
      <c r="B21" s="13"/>
      <c r="C21" s="14">
        <f t="shared" si="13"/>
        <v>30261</v>
      </c>
      <c r="D21" s="14">
        <v>20000</v>
      </c>
      <c r="F21" s="65">
        <v>3900</v>
      </c>
      <c r="G21" s="65"/>
      <c r="H21" s="65">
        <f t="shared" si="0"/>
        <v>3900</v>
      </c>
      <c r="I21" s="66">
        <v>26361</v>
      </c>
      <c r="J21" s="66"/>
      <c r="K21" s="66">
        <f t="shared" si="1"/>
        <v>26361</v>
      </c>
      <c r="L21" s="65"/>
      <c r="M21" s="65"/>
      <c r="N21" s="65">
        <f t="shared" si="2"/>
        <v>0</v>
      </c>
      <c r="O21" s="69">
        <v>0</v>
      </c>
      <c r="P21" s="66"/>
      <c r="Q21" s="66">
        <f t="shared" si="3"/>
        <v>0</v>
      </c>
      <c r="R21" s="65"/>
      <c r="S21" s="65"/>
      <c r="T21" s="65">
        <f t="shared" si="4"/>
        <v>0</v>
      </c>
      <c r="U21" s="66"/>
      <c r="V21" s="66"/>
      <c r="W21" s="66">
        <f t="shared" si="5"/>
        <v>0</v>
      </c>
      <c r="X21" s="65"/>
      <c r="Y21" s="65"/>
      <c r="Z21" s="65">
        <f t="shared" si="6"/>
        <v>0</v>
      </c>
      <c r="AA21" s="66"/>
      <c r="AB21" s="66"/>
      <c r="AC21" s="66">
        <f t="shared" si="7"/>
        <v>0</v>
      </c>
      <c r="AD21" s="65"/>
      <c r="AE21" s="65"/>
      <c r="AF21" s="65">
        <f t="shared" si="8"/>
        <v>0</v>
      </c>
      <c r="AG21" s="66"/>
      <c r="AH21" s="66"/>
      <c r="AI21" s="66">
        <f t="shared" si="9"/>
        <v>0</v>
      </c>
      <c r="AJ21" s="65"/>
      <c r="AK21" s="65"/>
      <c r="AL21" s="65">
        <f t="shared" si="10"/>
        <v>0</v>
      </c>
      <c r="AM21" s="66"/>
      <c r="AN21" s="66"/>
      <c r="AO21" s="66">
        <f t="shared" si="15"/>
        <v>0</v>
      </c>
    </row>
    <row r="22" spans="1:41" ht="17.25" x14ac:dyDescent="0.3">
      <c r="A22" s="4" t="s">
        <v>5</v>
      </c>
      <c r="B22" s="16"/>
      <c r="C22" s="17">
        <f>SUM(C7:C21)</f>
        <v>2790798</v>
      </c>
      <c r="D22" s="17">
        <f>SUM(D7:D21)</f>
        <v>380000</v>
      </c>
      <c r="F22" s="67">
        <f t="shared" ref="F22:AO22" si="16">SUM(F7:F21)</f>
        <v>928708</v>
      </c>
      <c r="G22" s="67">
        <f t="shared" si="16"/>
        <v>-385500</v>
      </c>
      <c r="H22" s="67">
        <f t="shared" si="16"/>
        <v>543208</v>
      </c>
      <c r="I22" s="67">
        <f t="shared" si="16"/>
        <v>1011651</v>
      </c>
      <c r="J22" s="67">
        <f t="shared" si="16"/>
        <v>-300000</v>
      </c>
      <c r="K22" s="67">
        <f t="shared" si="16"/>
        <v>711651</v>
      </c>
      <c r="L22" s="67">
        <f t="shared" si="16"/>
        <v>999739</v>
      </c>
      <c r="M22" s="67">
        <f t="shared" si="16"/>
        <v>0</v>
      </c>
      <c r="N22" s="67">
        <f t="shared" si="16"/>
        <v>999739</v>
      </c>
      <c r="O22" s="67">
        <f t="shared" si="16"/>
        <v>453624</v>
      </c>
      <c r="P22" s="67">
        <f t="shared" si="16"/>
        <v>0</v>
      </c>
      <c r="Q22" s="67">
        <f t="shared" si="16"/>
        <v>453624</v>
      </c>
      <c r="R22" s="67">
        <f t="shared" si="16"/>
        <v>38452</v>
      </c>
      <c r="S22" s="67">
        <f t="shared" si="16"/>
        <v>0</v>
      </c>
      <c r="T22" s="67">
        <f t="shared" si="16"/>
        <v>38452</v>
      </c>
      <c r="U22" s="67">
        <f t="shared" si="16"/>
        <v>25900</v>
      </c>
      <c r="V22" s="67">
        <f t="shared" si="16"/>
        <v>0</v>
      </c>
      <c r="W22" s="67">
        <f t="shared" si="16"/>
        <v>25900</v>
      </c>
      <c r="X22" s="67">
        <f t="shared" si="16"/>
        <v>11874</v>
      </c>
      <c r="Y22" s="67">
        <f t="shared" si="16"/>
        <v>0</v>
      </c>
      <c r="Z22" s="67">
        <f t="shared" si="16"/>
        <v>11874</v>
      </c>
      <c r="AA22" s="67">
        <f t="shared" si="16"/>
        <v>1500</v>
      </c>
      <c r="AB22" s="67">
        <f t="shared" si="16"/>
        <v>0</v>
      </c>
      <c r="AC22" s="67">
        <f t="shared" si="16"/>
        <v>1500</v>
      </c>
      <c r="AD22" s="67">
        <f t="shared" si="16"/>
        <v>650</v>
      </c>
      <c r="AE22" s="67">
        <f t="shared" si="16"/>
        <v>0</v>
      </c>
      <c r="AF22" s="67">
        <f t="shared" si="16"/>
        <v>650</v>
      </c>
      <c r="AG22" s="67">
        <f t="shared" si="16"/>
        <v>0</v>
      </c>
      <c r="AH22" s="67">
        <f t="shared" si="16"/>
        <v>0</v>
      </c>
      <c r="AI22" s="67">
        <f t="shared" si="16"/>
        <v>0</v>
      </c>
      <c r="AJ22" s="67">
        <f t="shared" si="16"/>
        <v>4200</v>
      </c>
      <c r="AK22" s="67">
        <f t="shared" si="16"/>
        <v>0</v>
      </c>
      <c r="AL22" s="67">
        <f t="shared" si="16"/>
        <v>4200</v>
      </c>
      <c r="AM22" s="67">
        <f t="shared" si="16"/>
        <v>0</v>
      </c>
      <c r="AN22" s="67">
        <f t="shared" si="16"/>
        <v>0</v>
      </c>
      <c r="AO22" s="67">
        <f t="shared" si="16"/>
        <v>0</v>
      </c>
    </row>
    <row r="23" spans="1:41" ht="21.95" customHeight="1" x14ac:dyDescent="0.3">
      <c r="A23" s="15"/>
      <c r="B23" s="16"/>
      <c r="C23" s="18"/>
      <c r="D23" s="18"/>
      <c r="F23" s="65"/>
      <c r="G23" s="65"/>
      <c r="H23" s="65"/>
      <c r="I23" s="66"/>
      <c r="J23" s="66"/>
      <c r="K23" s="66"/>
      <c r="L23" s="65"/>
      <c r="M23" s="65"/>
      <c r="N23" s="65"/>
      <c r="O23" s="66"/>
      <c r="P23" s="66"/>
      <c r="Q23" s="66"/>
      <c r="R23" s="65"/>
      <c r="S23" s="65"/>
      <c r="T23" s="65"/>
      <c r="U23" s="66"/>
      <c r="V23" s="66"/>
      <c r="W23" s="66"/>
      <c r="X23" s="65"/>
      <c r="Y23" s="65"/>
      <c r="Z23" s="65"/>
      <c r="AA23" s="66"/>
      <c r="AB23" s="66"/>
      <c r="AC23" s="66"/>
      <c r="AD23" s="65"/>
      <c r="AE23" s="65"/>
      <c r="AF23" s="65"/>
      <c r="AG23" s="66"/>
      <c r="AH23" s="66"/>
      <c r="AI23" s="66"/>
      <c r="AJ23" s="65"/>
      <c r="AK23" s="65"/>
      <c r="AL23" s="65"/>
      <c r="AM23" s="66"/>
      <c r="AN23" s="66"/>
      <c r="AO23" s="66"/>
    </row>
    <row r="24" spans="1:41" ht="17.25" x14ac:dyDescent="0.3">
      <c r="A24" s="4" t="s">
        <v>6</v>
      </c>
      <c r="B24" s="16"/>
      <c r="C24" s="19"/>
      <c r="D24" s="19"/>
      <c r="F24" s="65"/>
      <c r="G24" s="65"/>
      <c r="H24" s="65"/>
      <c r="I24" s="66"/>
      <c r="J24" s="66"/>
      <c r="K24" s="66"/>
      <c r="L24" s="65"/>
      <c r="M24" s="65"/>
      <c r="N24" s="65"/>
      <c r="O24" s="66"/>
      <c r="P24" s="66"/>
      <c r="Q24" s="66"/>
      <c r="R24" s="65"/>
      <c r="S24" s="65"/>
      <c r="T24" s="65"/>
      <c r="U24" s="66"/>
      <c r="V24" s="66"/>
      <c r="W24" s="66"/>
      <c r="X24" s="65"/>
      <c r="Y24" s="65"/>
      <c r="Z24" s="65"/>
      <c r="AA24" s="66"/>
      <c r="AB24" s="66"/>
      <c r="AC24" s="66"/>
      <c r="AD24" s="65"/>
      <c r="AE24" s="65"/>
      <c r="AF24" s="65"/>
      <c r="AG24" s="66"/>
      <c r="AH24" s="66"/>
      <c r="AI24" s="66"/>
      <c r="AJ24" s="65"/>
      <c r="AK24" s="65"/>
      <c r="AL24" s="65"/>
      <c r="AM24" s="66"/>
      <c r="AN24" s="66"/>
      <c r="AO24" s="66"/>
    </row>
    <row r="25" spans="1:41" ht="9.9499999999999993" customHeight="1" x14ac:dyDescent="0.3">
      <c r="A25" s="15"/>
      <c r="B25" s="16"/>
      <c r="C25" s="19"/>
      <c r="D25" s="19"/>
      <c r="F25" s="65"/>
      <c r="G25" s="65"/>
      <c r="H25" s="65"/>
      <c r="I25" s="66"/>
      <c r="J25" s="66"/>
      <c r="K25" s="66"/>
      <c r="L25" s="65"/>
      <c r="M25" s="65"/>
      <c r="N25" s="65"/>
      <c r="O25" s="66"/>
      <c r="P25" s="66"/>
      <c r="Q25" s="66"/>
      <c r="R25" s="65"/>
      <c r="S25" s="65"/>
      <c r="T25" s="65"/>
      <c r="U25" s="66"/>
      <c r="V25" s="66"/>
      <c r="W25" s="66"/>
      <c r="X25" s="65"/>
      <c r="Y25" s="65"/>
      <c r="Z25" s="65"/>
      <c r="AA25" s="66"/>
      <c r="AB25" s="66"/>
      <c r="AC25" s="66"/>
      <c r="AD25" s="65"/>
      <c r="AE25" s="65"/>
      <c r="AF25" s="65"/>
      <c r="AG25" s="66"/>
      <c r="AH25" s="66"/>
      <c r="AI25" s="66"/>
      <c r="AJ25" s="65"/>
      <c r="AK25" s="65"/>
      <c r="AL25" s="65"/>
      <c r="AM25" s="66"/>
      <c r="AN25" s="66"/>
      <c r="AO25" s="66"/>
    </row>
    <row r="26" spans="1:41" ht="16.5" customHeight="1" x14ac:dyDescent="0.3">
      <c r="A26" s="68" t="s">
        <v>89</v>
      </c>
      <c r="B26" s="16"/>
      <c r="C26" s="14">
        <f>H26+K26+N26+Q26+T26+W26+Z26+AC26+AF26+AI26+AL26+AO26</f>
        <v>297879</v>
      </c>
      <c r="D26" s="19"/>
      <c r="F26" s="65"/>
      <c r="G26" s="65"/>
      <c r="H26" s="65">
        <f t="shared" si="0"/>
        <v>0</v>
      </c>
      <c r="I26" s="66">
        <v>24618</v>
      </c>
      <c r="J26" s="66"/>
      <c r="K26" s="66">
        <f t="shared" si="1"/>
        <v>24618</v>
      </c>
      <c r="L26" s="65">
        <v>207538</v>
      </c>
      <c r="M26" s="65"/>
      <c r="N26" s="65">
        <f t="shared" si="2"/>
        <v>207538</v>
      </c>
      <c r="O26" s="66">
        <v>54018</v>
      </c>
      <c r="P26" s="66"/>
      <c r="Q26" s="66">
        <f t="shared" si="3"/>
        <v>54018</v>
      </c>
      <c r="R26" s="65">
        <v>11705</v>
      </c>
      <c r="S26" s="65"/>
      <c r="T26" s="65">
        <f t="shared" si="4"/>
        <v>11705</v>
      </c>
      <c r="U26" s="66"/>
      <c r="V26" s="66"/>
      <c r="W26" s="66">
        <f t="shared" si="5"/>
        <v>0</v>
      </c>
      <c r="X26" s="65"/>
      <c r="Y26" s="65"/>
      <c r="Z26" s="65">
        <f t="shared" si="6"/>
        <v>0</v>
      </c>
      <c r="AA26" s="66"/>
      <c r="AB26" s="66"/>
      <c r="AC26" s="66">
        <f t="shared" si="7"/>
        <v>0</v>
      </c>
      <c r="AD26" s="65"/>
      <c r="AE26" s="65"/>
      <c r="AF26" s="65">
        <f t="shared" si="8"/>
        <v>0</v>
      </c>
      <c r="AG26" s="66"/>
      <c r="AH26" s="66"/>
      <c r="AI26" s="66">
        <f t="shared" si="9"/>
        <v>0</v>
      </c>
      <c r="AJ26" s="65"/>
      <c r="AK26" s="65"/>
      <c r="AL26" s="65">
        <f t="shared" si="10"/>
        <v>0</v>
      </c>
      <c r="AM26" s="66"/>
      <c r="AN26" s="66"/>
      <c r="AO26" s="66">
        <f t="shared" ref="AO26:AO30" si="17">AM26+AN26</f>
        <v>0</v>
      </c>
    </row>
    <row r="27" spans="1:41" ht="16.5" customHeight="1" x14ac:dyDescent="0.3">
      <c r="A27" s="68" t="s">
        <v>60</v>
      </c>
      <c r="B27" s="16"/>
      <c r="C27" s="14">
        <f>H27+K27+N27+Q27+T27+W27+Z27+AC27+AF27+AI27+AL27+AO27</f>
        <v>1102095</v>
      </c>
      <c r="D27" s="19">
        <v>35000</v>
      </c>
      <c r="F27" s="65">
        <v>552181</v>
      </c>
      <c r="G27" s="65"/>
      <c r="H27" s="65">
        <f t="shared" si="0"/>
        <v>552181</v>
      </c>
      <c r="I27" s="66">
        <v>384365</v>
      </c>
      <c r="J27" s="66"/>
      <c r="K27" s="66">
        <f t="shared" si="1"/>
        <v>384365</v>
      </c>
      <c r="L27" s="65">
        <v>66803</v>
      </c>
      <c r="M27" s="65"/>
      <c r="N27" s="65">
        <f t="shared" si="2"/>
        <v>66803</v>
      </c>
      <c r="O27" s="66">
        <v>87962</v>
      </c>
      <c r="P27" s="66"/>
      <c r="Q27" s="66">
        <f t="shared" si="3"/>
        <v>87962</v>
      </c>
      <c r="R27" s="65">
        <v>4784</v>
      </c>
      <c r="S27" s="65"/>
      <c r="T27" s="65">
        <f t="shared" si="4"/>
        <v>4784</v>
      </c>
      <c r="U27" s="66">
        <v>0</v>
      </c>
      <c r="V27" s="66"/>
      <c r="W27" s="66">
        <f t="shared" si="5"/>
        <v>0</v>
      </c>
      <c r="X27" s="65">
        <v>6000</v>
      </c>
      <c r="Y27" s="65"/>
      <c r="Z27" s="65">
        <f t="shared" si="6"/>
        <v>6000</v>
      </c>
      <c r="AA27" s="66"/>
      <c r="AB27" s="66"/>
      <c r="AC27" s="66">
        <f t="shared" si="7"/>
        <v>0</v>
      </c>
      <c r="AD27" s="65"/>
      <c r="AE27" s="65"/>
      <c r="AF27" s="65">
        <f t="shared" si="8"/>
        <v>0</v>
      </c>
      <c r="AG27" s="66"/>
      <c r="AH27" s="66"/>
      <c r="AI27" s="66">
        <f t="shared" si="9"/>
        <v>0</v>
      </c>
      <c r="AJ27" s="65"/>
      <c r="AK27" s="65"/>
      <c r="AL27" s="65">
        <f t="shared" si="10"/>
        <v>0</v>
      </c>
      <c r="AM27" s="66"/>
      <c r="AN27" s="66"/>
      <c r="AO27" s="66">
        <f t="shared" si="17"/>
        <v>0</v>
      </c>
    </row>
    <row r="28" spans="1:41" ht="16.5" customHeight="1" x14ac:dyDescent="0.3">
      <c r="A28" s="68" t="s">
        <v>62</v>
      </c>
      <c r="B28" s="16"/>
      <c r="C28" s="14">
        <f>H28+K28+N28+Q28+T28+W28+Z28+AC28+AF28+AI28+AL28+AO28</f>
        <v>146200</v>
      </c>
      <c r="D28" s="19">
        <v>0</v>
      </c>
      <c r="F28" s="65">
        <v>136800</v>
      </c>
      <c r="G28" s="65"/>
      <c r="H28" s="65">
        <f t="shared" si="0"/>
        <v>136800</v>
      </c>
      <c r="I28" s="66">
        <v>9400</v>
      </c>
      <c r="J28" s="66"/>
      <c r="K28" s="66">
        <f t="shared" si="1"/>
        <v>9400</v>
      </c>
      <c r="L28" s="65"/>
      <c r="M28" s="65"/>
      <c r="N28" s="65">
        <f t="shared" si="2"/>
        <v>0</v>
      </c>
      <c r="O28" s="66"/>
      <c r="P28" s="66"/>
      <c r="Q28" s="66">
        <f t="shared" si="3"/>
        <v>0</v>
      </c>
      <c r="R28" s="65"/>
      <c r="S28" s="65"/>
      <c r="T28" s="65">
        <f t="shared" si="4"/>
        <v>0</v>
      </c>
      <c r="U28" s="66"/>
      <c r="V28" s="66"/>
      <c r="W28" s="66">
        <f t="shared" si="5"/>
        <v>0</v>
      </c>
      <c r="X28" s="65"/>
      <c r="Y28" s="65"/>
      <c r="Z28" s="65">
        <f t="shared" si="6"/>
        <v>0</v>
      </c>
      <c r="AA28" s="66"/>
      <c r="AB28" s="66"/>
      <c r="AC28" s="66">
        <f t="shared" si="7"/>
        <v>0</v>
      </c>
      <c r="AD28" s="65"/>
      <c r="AE28" s="65"/>
      <c r="AF28" s="65">
        <f t="shared" si="8"/>
        <v>0</v>
      </c>
      <c r="AG28" s="66"/>
      <c r="AH28" s="66"/>
      <c r="AI28" s="66">
        <f t="shared" si="9"/>
        <v>0</v>
      </c>
      <c r="AJ28" s="65"/>
      <c r="AK28" s="65"/>
      <c r="AL28" s="65">
        <f t="shared" si="10"/>
        <v>0</v>
      </c>
      <c r="AM28" s="66"/>
      <c r="AN28" s="66"/>
      <c r="AO28" s="66">
        <f t="shared" si="17"/>
        <v>0</v>
      </c>
    </row>
    <row r="29" spans="1:41" ht="16.5" customHeight="1" x14ac:dyDescent="0.3">
      <c r="A29" s="68" t="s">
        <v>61</v>
      </c>
      <c r="B29" s="16"/>
      <c r="C29" s="14">
        <f>H29+K29+N29+Q29+T29+W29+Z29+AC29+AF29+AI29+AL29+AO29</f>
        <v>145774</v>
      </c>
      <c r="D29" s="19">
        <v>45000</v>
      </c>
      <c r="F29" s="65">
        <v>145774</v>
      </c>
      <c r="G29" s="65"/>
      <c r="H29" s="65">
        <f t="shared" si="0"/>
        <v>145774</v>
      </c>
      <c r="I29" s="66"/>
      <c r="J29" s="66"/>
      <c r="K29" s="66">
        <f t="shared" si="1"/>
        <v>0</v>
      </c>
      <c r="L29" s="65"/>
      <c r="M29" s="65"/>
      <c r="N29" s="65">
        <f t="shared" si="2"/>
        <v>0</v>
      </c>
      <c r="O29" s="66"/>
      <c r="P29" s="66"/>
      <c r="Q29" s="66">
        <f t="shared" si="3"/>
        <v>0</v>
      </c>
      <c r="R29" s="65"/>
      <c r="S29" s="65"/>
      <c r="T29" s="65">
        <f t="shared" si="4"/>
        <v>0</v>
      </c>
      <c r="U29" s="66"/>
      <c r="V29" s="66"/>
      <c r="W29" s="66">
        <f t="shared" si="5"/>
        <v>0</v>
      </c>
      <c r="X29" s="65"/>
      <c r="Y29" s="65"/>
      <c r="Z29" s="65">
        <f t="shared" si="6"/>
        <v>0</v>
      </c>
      <c r="AA29" s="66"/>
      <c r="AB29" s="66"/>
      <c r="AC29" s="66">
        <f t="shared" si="7"/>
        <v>0</v>
      </c>
      <c r="AD29" s="65"/>
      <c r="AE29" s="65"/>
      <c r="AF29" s="65">
        <f t="shared" si="8"/>
        <v>0</v>
      </c>
      <c r="AG29" s="66"/>
      <c r="AH29" s="66"/>
      <c r="AI29" s="66">
        <f t="shared" si="9"/>
        <v>0</v>
      </c>
      <c r="AJ29" s="65"/>
      <c r="AK29" s="65"/>
      <c r="AL29" s="65">
        <f t="shared" si="10"/>
        <v>0</v>
      </c>
      <c r="AM29" s="66"/>
      <c r="AN29" s="66"/>
      <c r="AO29" s="66">
        <f t="shared" si="17"/>
        <v>0</v>
      </c>
    </row>
    <row r="30" spans="1:41" ht="17.25" x14ac:dyDescent="0.3">
      <c r="A30" s="68" t="s">
        <v>63</v>
      </c>
      <c r="B30" s="16"/>
      <c r="C30" s="14">
        <f>H30+K30+N30+Q30+T30+W30+Z30+AC30+AF30+AI30+AL30+AO30</f>
        <v>1568819</v>
      </c>
      <c r="D30" s="19">
        <v>20000</v>
      </c>
      <c r="F30" s="65">
        <f>36039+145292</f>
        <v>181331</v>
      </c>
      <c r="G30" s="65">
        <v>0</v>
      </c>
      <c r="H30" s="65">
        <f t="shared" si="0"/>
        <v>181331</v>
      </c>
      <c r="I30" s="66">
        <v>682570</v>
      </c>
      <c r="J30" s="66"/>
      <c r="K30" s="66">
        <f t="shared" si="1"/>
        <v>682570</v>
      </c>
      <c r="L30" s="65">
        <v>105667</v>
      </c>
      <c r="M30" s="65"/>
      <c r="N30" s="65">
        <f t="shared" si="2"/>
        <v>105667</v>
      </c>
      <c r="O30" s="66">
        <v>539098</v>
      </c>
      <c r="P30" s="66"/>
      <c r="Q30" s="66">
        <f t="shared" si="3"/>
        <v>539098</v>
      </c>
      <c r="R30" s="65">
        <v>14015</v>
      </c>
      <c r="S30" s="65"/>
      <c r="T30" s="65">
        <f t="shared" si="4"/>
        <v>14015</v>
      </c>
      <c r="U30" s="66">
        <v>12849</v>
      </c>
      <c r="V30" s="66"/>
      <c r="W30" s="66">
        <f t="shared" si="5"/>
        <v>12849</v>
      </c>
      <c r="X30" s="65">
        <v>7309</v>
      </c>
      <c r="Y30" s="65"/>
      <c r="Z30" s="65">
        <f t="shared" si="6"/>
        <v>7309</v>
      </c>
      <c r="AA30" s="66">
        <v>317</v>
      </c>
      <c r="AB30" s="66"/>
      <c r="AC30" s="66">
        <f t="shared" si="7"/>
        <v>317</v>
      </c>
      <c r="AD30" s="65">
        <f>180+342+800+6</f>
        <v>1328</v>
      </c>
      <c r="AE30" s="65"/>
      <c r="AF30" s="65">
        <f t="shared" si="8"/>
        <v>1328</v>
      </c>
      <c r="AG30" s="66"/>
      <c r="AH30" s="66"/>
      <c r="AI30" s="66">
        <f t="shared" si="9"/>
        <v>0</v>
      </c>
      <c r="AJ30" s="65">
        <v>24332</v>
      </c>
      <c r="AK30" s="65"/>
      <c r="AL30" s="65">
        <f t="shared" si="10"/>
        <v>24332</v>
      </c>
      <c r="AM30" s="66">
        <v>3</v>
      </c>
      <c r="AN30" s="66"/>
      <c r="AO30" s="66">
        <f t="shared" si="17"/>
        <v>3</v>
      </c>
    </row>
    <row r="31" spans="1:41" ht="17.25" x14ac:dyDescent="0.3">
      <c r="A31" s="4" t="s">
        <v>7</v>
      </c>
      <c r="B31" s="16"/>
      <c r="C31" s="17">
        <f>SUM(C26:C30)</f>
        <v>3260767</v>
      </c>
      <c r="D31" s="17">
        <f>SUM(D27:D30)</f>
        <v>100000</v>
      </c>
      <c r="F31" s="17">
        <f t="shared" ref="F31:AO31" si="18">SUM(F26:F30)</f>
        <v>1016086</v>
      </c>
      <c r="G31" s="17">
        <f t="shared" si="18"/>
        <v>0</v>
      </c>
      <c r="H31" s="17">
        <f t="shared" si="18"/>
        <v>1016086</v>
      </c>
      <c r="I31" s="17">
        <f t="shared" si="18"/>
        <v>1100953</v>
      </c>
      <c r="J31" s="17">
        <f t="shared" si="18"/>
        <v>0</v>
      </c>
      <c r="K31" s="17">
        <f t="shared" si="18"/>
        <v>1100953</v>
      </c>
      <c r="L31" s="17">
        <f t="shared" si="18"/>
        <v>380008</v>
      </c>
      <c r="M31" s="17">
        <f t="shared" si="18"/>
        <v>0</v>
      </c>
      <c r="N31" s="17">
        <f t="shared" si="18"/>
        <v>380008</v>
      </c>
      <c r="O31" s="17">
        <f t="shared" si="18"/>
        <v>681078</v>
      </c>
      <c r="P31" s="17">
        <f t="shared" si="18"/>
        <v>0</v>
      </c>
      <c r="Q31" s="17">
        <f t="shared" si="18"/>
        <v>681078</v>
      </c>
      <c r="R31" s="17">
        <f t="shared" si="18"/>
        <v>30504</v>
      </c>
      <c r="S31" s="17">
        <f t="shared" si="18"/>
        <v>0</v>
      </c>
      <c r="T31" s="17">
        <f t="shared" si="18"/>
        <v>30504</v>
      </c>
      <c r="U31" s="17">
        <f t="shared" si="18"/>
        <v>12849</v>
      </c>
      <c r="V31" s="17">
        <f t="shared" si="18"/>
        <v>0</v>
      </c>
      <c r="W31" s="17">
        <f t="shared" si="18"/>
        <v>12849</v>
      </c>
      <c r="X31" s="17">
        <f t="shared" si="18"/>
        <v>13309</v>
      </c>
      <c r="Y31" s="17">
        <f t="shared" si="18"/>
        <v>0</v>
      </c>
      <c r="Z31" s="17">
        <f t="shared" si="18"/>
        <v>13309</v>
      </c>
      <c r="AA31" s="17">
        <f t="shared" si="18"/>
        <v>317</v>
      </c>
      <c r="AB31" s="17">
        <f t="shared" si="18"/>
        <v>0</v>
      </c>
      <c r="AC31" s="17">
        <f t="shared" si="18"/>
        <v>317</v>
      </c>
      <c r="AD31" s="17">
        <f t="shared" si="18"/>
        <v>1328</v>
      </c>
      <c r="AE31" s="17">
        <f t="shared" si="18"/>
        <v>0</v>
      </c>
      <c r="AF31" s="17">
        <f t="shared" si="18"/>
        <v>1328</v>
      </c>
      <c r="AG31" s="17">
        <f t="shared" si="18"/>
        <v>0</v>
      </c>
      <c r="AH31" s="17">
        <f t="shared" si="18"/>
        <v>0</v>
      </c>
      <c r="AI31" s="17">
        <f t="shared" si="18"/>
        <v>0</v>
      </c>
      <c r="AJ31" s="17">
        <f t="shared" si="18"/>
        <v>24332</v>
      </c>
      <c r="AK31" s="17">
        <f t="shared" si="18"/>
        <v>0</v>
      </c>
      <c r="AL31" s="17">
        <f t="shared" si="18"/>
        <v>24332</v>
      </c>
      <c r="AM31" s="17">
        <f t="shared" si="18"/>
        <v>3</v>
      </c>
      <c r="AN31" s="17">
        <f t="shared" si="18"/>
        <v>0</v>
      </c>
      <c r="AO31" s="17">
        <f t="shared" si="18"/>
        <v>3</v>
      </c>
    </row>
    <row r="32" spans="1:41" ht="17.25" x14ac:dyDescent="0.3">
      <c r="A32" s="15"/>
      <c r="B32" s="16"/>
      <c r="C32" s="20"/>
      <c r="D32" s="20"/>
      <c r="F32" s="65"/>
      <c r="G32" s="65"/>
      <c r="H32" s="65">
        <f t="shared" si="0"/>
        <v>0</v>
      </c>
      <c r="I32" s="66"/>
      <c r="J32" s="66"/>
      <c r="K32" s="66">
        <f t="shared" si="1"/>
        <v>0</v>
      </c>
      <c r="L32" s="65"/>
      <c r="M32" s="65"/>
      <c r="N32" s="65">
        <f t="shared" si="2"/>
        <v>0</v>
      </c>
      <c r="O32" s="66"/>
      <c r="P32" s="66"/>
      <c r="Q32" s="66">
        <f t="shared" si="3"/>
        <v>0</v>
      </c>
      <c r="R32" s="65"/>
      <c r="S32" s="65"/>
      <c r="T32" s="65">
        <f t="shared" si="4"/>
        <v>0</v>
      </c>
      <c r="U32" s="66"/>
      <c r="V32" s="66"/>
      <c r="W32" s="66">
        <f t="shared" si="5"/>
        <v>0</v>
      </c>
      <c r="X32" s="65"/>
      <c r="Y32" s="65"/>
      <c r="Z32" s="65">
        <f t="shared" si="6"/>
        <v>0</v>
      </c>
      <c r="AA32" s="66"/>
      <c r="AB32" s="66"/>
      <c r="AC32" s="66">
        <f t="shared" si="7"/>
        <v>0</v>
      </c>
      <c r="AD32" s="65"/>
      <c r="AE32" s="65"/>
      <c r="AF32" s="65">
        <f t="shared" si="8"/>
        <v>0</v>
      </c>
      <c r="AG32" s="66"/>
      <c r="AH32" s="66"/>
      <c r="AI32" s="66">
        <f t="shared" si="9"/>
        <v>0</v>
      </c>
      <c r="AJ32" s="65"/>
      <c r="AK32" s="65"/>
      <c r="AL32" s="65">
        <f t="shared" si="10"/>
        <v>0</v>
      </c>
      <c r="AM32" s="66"/>
      <c r="AN32" s="66"/>
      <c r="AO32" s="66">
        <f t="shared" ref="AO32" si="19">AM32+AN32</f>
        <v>0</v>
      </c>
    </row>
    <row r="33" spans="1:41" ht="17.25" x14ac:dyDescent="0.3">
      <c r="A33" s="4" t="s">
        <v>8</v>
      </c>
      <c r="B33" s="16"/>
      <c r="C33" s="21">
        <f>C22-C31</f>
        <v>-469969</v>
      </c>
      <c r="D33" s="21">
        <f>D22-D31</f>
        <v>280000</v>
      </c>
      <c r="F33" s="21">
        <f t="shared" ref="F33:AO33" si="20">F22-F31</f>
        <v>-87378</v>
      </c>
      <c r="G33" s="21">
        <f t="shared" si="20"/>
        <v>-385500</v>
      </c>
      <c r="H33" s="21">
        <f t="shared" si="20"/>
        <v>-472878</v>
      </c>
      <c r="I33" s="21">
        <f t="shared" si="20"/>
        <v>-89302</v>
      </c>
      <c r="J33" s="21">
        <f t="shared" si="20"/>
        <v>-300000</v>
      </c>
      <c r="K33" s="21">
        <f t="shared" si="20"/>
        <v>-389302</v>
      </c>
      <c r="L33" s="21">
        <f t="shared" si="20"/>
        <v>619731</v>
      </c>
      <c r="M33" s="21">
        <f t="shared" si="20"/>
        <v>0</v>
      </c>
      <c r="N33" s="21">
        <f t="shared" si="20"/>
        <v>619731</v>
      </c>
      <c r="O33" s="21">
        <f t="shared" si="20"/>
        <v>-227454</v>
      </c>
      <c r="P33" s="21">
        <f t="shared" si="20"/>
        <v>0</v>
      </c>
      <c r="Q33" s="21">
        <f t="shared" si="20"/>
        <v>-227454</v>
      </c>
      <c r="R33" s="21">
        <f t="shared" si="20"/>
        <v>7948</v>
      </c>
      <c r="S33" s="21">
        <f t="shared" si="20"/>
        <v>0</v>
      </c>
      <c r="T33" s="21">
        <f t="shared" si="20"/>
        <v>7948</v>
      </c>
      <c r="U33" s="21">
        <f t="shared" si="20"/>
        <v>13051</v>
      </c>
      <c r="V33" s="21">
        <f t="shared" si="20"/>
        <v>0</v>
      </c>
      <c r="W33" s="21">
        <f t="shared" si="20"/>
        <v>13051</v>
      </c>
      <c r="X33" s="21">
        <f t="shared" si="20"/>
        <v>-1435</v>
      </c>
      <c r="Y33" s="21">
        <f t="shared" si="20"/>
        <v>0</v>
      </c>
      <c r="Z33" s="21">
        <f t="shared" si="20"/>
        <v>-1435</v>
      </c>
      <c r="AA33" s="21">
        <f t="shared" si="20"/>
        <v>1183</v>
      </c>
      <c r="AB33" s="21">
        <f t="shared" si="20"/>
        <v>0</v>
      </c>
      <c r="AC33" s="21">
        <f t="shared" si="20"/>
        <v>1183</v>
      </c>
      <c r="AD33" s="21">
        <f t="shared" si="20"/>
        <v>-678</v>
      </c>
      <c r="AE33" s="21">
        <f t="shared" si="20"/>
        <v>0</v>
      </c>
      <c r="AF33" s="21">
        <f t="shared" si="20"/>
        <v>-678</v>
      </c>
      <c r="AG33" s="21">
        <f t="shared" si="20"/>
        <v>0</v>
      </c>
      <c r="AH33" s="21">
        <f t="shared" si="20"/>
        <v>0</v>
      </c>
      <c r="AI33" s="21">
        <f t="shared" si="20"/>
        <v>0</v>
      </c>
      <c r="AJ33" s="21">
        <f t="shared" si="20"/>
        <v>-20132</v>
      </c>
      <c r="AK33" s="21">
        <f t="shared" si="20"/>
        <v>0</v>
      </c>
      <c r="AL33" s="21">
        <f t="shared" si="20"/>
        <v>-20132</v>
      </c>
      <c r="AM33" s="21">
        <f t="shared" si="20"/>
        <v>-3</v>
      </c>
      <c r="AN33" s="21">
        <f t="shared" si="20"/>
        <v>0</v>
      </c>
      <c r="AO33" s="21">
        <f t="shared" si="20"/>
        <v>-3</v>
      </c>
    </row>
    <row r="34" spans="1:41" ht="23.1" customHeight="1" x14ac:dyDescent="0.3">
      <c r="A34" s="22"/>
      <c r="B34" s="16"/>
      <c r="C34" s="18"/>
      <c r="D34" s="18"/>
      <c r="F34" s="65"/>
      <c r="G34" s="65"/>
      <c r="H34" s="65"/>
      <c r="I34" s="66"/>
      <c r="J34" s="66"/>
      <c r="K34" s="66"/>
      <c r="L34" s="65"/>
      <c r="M34" s="65"/>
      <c r="N34" s="65"/>
      <c r="O34" s="66"/>
      <c r="P34" s="66"/>
      <c r="Q34" s="66"/>
      <c r="R34" s="65"/>
      <c r="S34" s="65"/>
      <c r="T34" s="65"/>
      <c r="U34" s="66"/>
      <c r="V34" s="66"/>
      <c r="W34" s="66"/>
      <c r="X34" s="65"/>
      <c r="Y34" s="65"/>
      <c r="Z34" s="65"/>
      <c r="AA34" s="66"/>
      <c r="AB34" s="66"/>
      <c r="AC34" s="66"/>
      <c r="AD34" s="65"/>
      <c r="AE34" s="65"/>
      <c r="AF34" s="65"/>
      <c r="AG34" s="66"/>
      <c r="AH34" s="66"/>
      <c r="AI34" s="66"/>
      <c r="AJ34" s="65"/>
      <c r="AK34" s="65"/>
      <c r="AL34" s="65"/>
      <c r="AM34" s="66"/>
      <c r="AN34" s="66"/>
      <c r="AO34" s="66"/>
    </row>
    <row r="35" spans="1:41" ht="17.25" x14ac:dyDescent="0.3">
      <c r="A35" s="4" t="s">
        <v>9</v>
      </c>
      <c r="B35" s="16"/>
      <c r="C35" s="19"/>
      <c r="D35" s="19"/>
      <c r="F35" s="65"/>
      <c r="G35" s="65"/>
      <c r="H35" s="65"/>
      <c r="I35" s="66"/>
      <c r="J35" s="66"/>
      <c r="K35" s="66"/>
      <c r="L35" s="65"/>
      <c r="M35" s="65"/>
      <c r="N35" s="65"/>
      <c r="O35" s="66"/>
      <c r="P35" s="66"/>
      <c r="Q35" s="66"/>
      <c r="R35" s="65"/>
      <c r="S35" s="65"/>
      <c r="T35" s="65"/>
      <c r="U35" s="66"/>
      <c r="V35" s="66"/>
      <c r="W35" s="66"/>
      <c r="X35" s="65"/>
      <c r="Y35" s="65"/>
      <c r="Z35" s="65"/>
      <c r="AA35" s="66"/>
      <c r="AB35" s="66"/>
      <c r="AC35" s="66"/>
      <c r="AD35" s="65"/>
      <c r="AE35" s="65"/>
      <c r="AF35" s="65"/>
      <c r="AG35" s="66"/>
      <c r="AH35" s="66"/>
      <c r="AI35" s="66"/>
      <c r="AJ35" s="65"/>
      <c r="AK35" s="65"/>
      <c r="AL35" s="65"/>
      <c r="AM35" s="66"/>
      <c r="AN35" s="66"/>
      <c r="AO35" s="66"/>
    </row>
    <row r="36" spans="1:41" ht="9.9499999999999993" customHeight="1" x14ac:dyDescent="0.3">
      <c r="A36" s="4"/>
      <c r="B36" s="16"/>
      <c r="C36" s="19"/>
      <c r="D36" s="19"/>
      <c r="F36" s="65"/>
      <c r="G36" s="65"/>
      <c r="H36" s="65"/>
      <c r="I36" s="66"/>
      <c r="J36" s="66"/>
      <c r="K36" s="66"/>
      <c r="L36" s="65"/>
      <c r="M36" s="65"/>
      <c r="N36" s="65"/>
      <c r="O36" s="66"/>
      <c r="P36" s="66"/>
      <c r="Q36" s="66"/>
      <c r="R36" s="65"/>
      <c r="S36" s="65"/>
      <c r="T36" s="65"/>
      <c r="U36" s="66"/>
      <c r="V36" s="66"/>
      <c r="W36" s="66"/>
      <c r="X36" s="65"/>
      <c r="Y36" s="65"/>
      <c r="Z36" s="65"/>
      <c r="AA36" s="66"/>
      <c r="AB36" s="66"/>
      <c r="AC36" s="66"/>
      <c r="AD36" s="65"/>
      <c r="AE36" s="65"/>
      <c r="AF36" s="65"/>
      <c r="AG36" s="66"/>
      <c r="AH36" s="66"/>
      <c r="AI36" s="66"/>
      <c r="AJ36" s="65"/>
      <c r="AK36" s="65"/>
      <c r="AL36" s="65"/>
      <c r="AM36" s="66"/>
      <c r="AN36" s="66"/>
      <c r="AO36" s="66"/>
    </row>
    <row r="37" spans="1:41" ht="17.25" x14ac:dyDescent="0.3">
      <c r="A37" s="15" t="s">
        <v>10</v>
      </c>
      <c r="B37" s="16"/>
      <c r="C37" s="14">
        <f>H37+K37+N37+Q37+T37+W37+Z37+AC37+AF37+AI37+AL37+AO37</f>
        <v>15266</v>
      </c>
      <c r="D37" s="19">
        <v>0</v>
      </c>
      <c r="F37" s="65">
        <v>21</v>
      </c>
      <c r="G37" s="65"/>
      <c r="H37" s="65">
        <f t="shared" si="0"/>
        <v>21</v>
      </c>
      <c r="I37" s="66">
        <v>92</v>
      </c>
      <c r="J37" s="66"/>
      <c r="K37" s="66">
        <f t="shared" si="1"/>
        <v>92</v>
      </c>
      <c r="L37" s="65">
        <v>14753</v>
      </c>
      <c r="M37" s="65"/>
      <c r="N37" s="65">
        <f t="shared" si="2"/>
        <v>14753</v>
      </c>
      <c r="O37" s="66">
        <v>203</v>
      </c>
      <c r="P37" s="66"/>
      <c r="Q37" s="66">
        <f t="shared" si="3"/>
        <v>203</v>
      </c>
      <c r="R37" s="65">
        <v>30</v>
      </c>
      <c r="S37" s="65"/>
      <c r="T37" s="65">
        <f t="shared" si="4"/>
        <v>30</v>
      </c>
      <c r="U37" s="66">
        <v>43</v>
      </c>
      <c r="V37" s="66"/>
      <c r="W37" s="66">
        <f t="shared" si="5"/>
        <v>43</v>
      </c>
      <c r="X37" s="65">
        <v>43</v>
      </c>
      <c r="Y37" s="65"/>
      <c r="Z37" s="65">
        <f t="shared" si="6"/>
        <v>43</v>
      </c>
      <c r="AA37" s="66">
        <v>3</v>
      </c>
      <c r="AB37" s="66"/>
      <c r="AC37" s="66">
        <f t="shared" si="7"/>
        <v>3</v>
      </c>
      <c r="AD37" s="65">
        <v>2</v>
      </c>
      <c r="AE37" s="65"/>
      <c r="AF37" s="65">
        <f t="shared" si="8"/>
        <v>2</v>
      </c>
      <c r="AG37" s="66">
        <v>12</v>
      </c>
      <c r="AH37" s="66"/>
      <c r="AI37" s="66">
        <f t="shared" si="9"/>
        <v>12</v>
      </c>
      <c r="AJ37" s="65">
        <v>12</v>
      </c>
      <c r="AK37" s="65"/>
      <c r="AL37" s="65">
        <f t="shared" si="10"/>
        <v>12</v>
      </c>
      <c r="AM37" s="66">
        <v>52</v>
      </c>
      <c r="AN37" s="66"/>
      <c r="AO37" s="66">
        <f t="shared" ref="AO37:AO39" si="21">AM37+AN37</f>
        <v>52</v>
      </c>
    </row>
    <row r="38" spans="1:41" ht="17.25" x14ac:dyDescent="0.3">
      <c r="A38" s="68" t="s">
        <v>64</v>
      </c>
      <c r="B38" s="16"/>
      <c r="C38" s="14">
        <f>H38+K38+N38+Q38+T38+W38+Z38+AC38+AF38+AI38+AL38+AO38</f>
        <v>87135</v>
      </c>
      <c r="D38" s="19"/>
      <c r="F38" s="65">
        <v>87135</v>
      </c>
      <c r="G38" s="65"/>
      <c r="H38" s="65">
        <f t="shared" si="0"/>
        <v>87135</v>
      </c>
      <c r="I38" s="66">
        <v>0</v>
      </c>
      <c r="J38" s="66"/>
      <c r="K38" s="66">
        <f t="shared" si="1"/>
        <v>0</v>
      </c>
      <c r="L38" s="65"/>
      <c r="M38" s="65"/>
      <c r="N38" s="65">
        <f t="shared" si="2"/>
        <v>0</v>
      </c>
      <c r="O38" s="66"/>
      <c r="P38" s="66"/>
      <c r="Q38" s="66">
        <f t="shared" si="3"/>
        <v>0</v>
      </c>
      <c r="R38" s="65"/>
      <c r="S38" s="65"/>
      <c r="T38" s="65">
        <f t="shared" si="4"/>
        <v>0</v>
      </c>
      <c r="U38" s="66"/>
      <c r="V38" s="66"/>
      <c r="W38" s="66">
        <f t="shared" si="5"/>
        <v>0</v>
      </c>
      <c r="X38" s="65"/>
      <c r="Y38" s="65"/>
      <c r="Z38" s="65">
        <f t="shared" si="6"/>
        <v>0</v>
      </c>
      <c r="AA38" s="66"/>
      <c r="AB38" s="66"/>
      <c r="AC38" s="66">
        <f t="shared" si="7"/>
        <v>0</v>
      </c>
      <c r="AD38" s="65"/>
      <c r="AE38" s="65"/>
      <c r="AF38" s="65">
        <f t="shared" si="8"/>
        <v>0</v>
      </c>
      <c r="AG38" s="66"/>
      <c r="AH38" s="66"/>
      <c r="AI38" s="66">
        <f t="shared" si="9"/>
        <v>0</v>
      </c>
      <c r="AJ38" s="65"/>
      <c r="AK38" s="65"/>
      <c r="AL38" s="65">
        <f t="shared" si="10"/>
        <v>0</v>
      </c>
      <c r="AM38" s="66"/>
      <c r="AN38" s="66"/>
      <c r="AO38" s="66">
        <f t="shared" si="21"/>
        <v>0</v>
      </c>
    </row>
    <row r="39" spans="1:41" ht="17.25" x14ac:dyDescent="0.3">
      <c r="A39" s="68" t="s">
        <v>65</v>
      </c>
      <c r="B39" s="16"/>
      <c r="C39" s="14">
        <f>H39+K39+N39+Q39+T39+W39+Z39+AC39+AF39+AI39+AL39+AO39</f>
        <v>170707</v>
      </c>
      <c r="D39" s="19"/>
      <c r="F39" s="65">
        <v>170707</v>
      </c>
      <c r="G39" s="65"/>
      <c r="H39" s="65">
        <f t="shared" si="0"/>
        <v>170707</v>
      </c>
      <c r="I39" s="66"/>
      <c r="J39" s="66"/>
      <c r="K39" s="66">
        <f t="shared" si="1"/>
        <v>0</v>
      </c>
      <c r="L39" s="65"/>
      <c r="M39" s="65"/>
      <c r="N39" s="65">
        <f t="shared" si="2"/>
        <v>0</v>
      </c>
      <c r="O39" s="66"/>
      <c r="P39" s="66"/>
      <c r="Q39" s="66">
        <f t="shared" si="3"/>
        <v>0</v>
      </c>
      <c r="R39" s="65"/>
      <c r="S39" s="65"/>
      <c r="T39" s="65">
        <f t="shared" si="4"/>
        <v>0</v>
      </c>
      <c r="U39" s="66"/>
      <c r="V39" s="66"/>
      <c r="W39" s="66">
        <f t="shared" si="5"/>
        <v>0</v>
      </c>
      <c r="X39" s="65"/>
      <c r="Y39" s="65"/>
      <c r="Z39" s="65">
        <f t="shared" si="6"/>
        <v>0</v>
      </c>
      <c r="AA39" s="66"/>
      <c r="AB39" s="66"/>
      <c r="AC39" s="66">
        <f t="shared" si="7"/>
        <v>0</v>
      </c>
      <c r="AD39" s="65"/>
      <c r="AE39" s="65"/>
      <c r="AF39" s="65">
        <f t="shared" si="8"/>
        <v>0</v>
      </c>
      <c r="AG39" s="66"/>
      <c r="AH39" s="66"/>
      <c r="AI39" s="66">
        <f t="shared" si="9"/>
        <v>0</v>
      </c>
      <c r="AJ39" s="65"/>
      <c r="AK39" s="65"/>
      <c r="AL39" s="65">
        <f t="shared" si="10"/>
        <v>0</v>
      </c>
      <c r="AM39" s="66"/>
      <c r="AN39" s="66"/>
      <c r="AO39" s="66">
        <f t="shared" si="21"/>
        <v>0</v>
      </c>
    </row>
    <row r="40" spans="1:41" ht="21.95" customHeight="1" x14ac:dyDescent="0.3">
      <c r="A40" s="4" t="s">
        <v>11</v>
      </c>
      <c r="B40" s="16"/>
      <c r="C40" s="17">
        <f>C37-C38-C39</f>
        <v>-242576</v>
      </c>
      <c r="D40" s="17">
        <f>SUM(D37:D37)</f>
        <v>0</v>
      </c>
      <c r="F40" s="17">
        <f>F37-F38-F39</f>
        <v>-257821</v>
      </c>
      <c r="G40" s="17">
        <f t="shared" ref="G40:AO40" si="22">G37-G38-G39</f>
        <v>0</v>
      </c>
      <c r="H40" s="17">
        <f t="shared" si="22"/>
        <v>-257821</v>
      </c>
      <c r="I40" s="17">
        <f t="shared" si="22"/>
        <v>92</v>
      </c>
      <c r="J40" s="17">
        <f t="shared" si="22"/>
        <v>0</v>
      </c>
      <c r="K40" s="17">
        <f t="shared" si="22"/>
        <v>92</v>
      </c>
      <c r="L40" s="17">
        <f t="shared" si="22"/>
        <v>14753</v>
      </c>
      <c r="M40" s="17">
        <f t="shared" si="22"/>
        <v>0</v>
      </c>
      <c r="N40" s="17">
        <f t="shared" si="22"/>
        <v>14753</v>
      </c>
      <c r="O40" s="17">
        <f t="shared" si="22"/>
        <v>203</v>
      </c>
      <c r="P40" s="17">
        <f t="shared" si="22"/>
        <v>0</v>
      </c>
      <c r="Q40" s="17">
        <f t="shared" si="22"/>
        <v>203</v>
      </c>
      <c r="R40" s="17">
        <f t="shared" si="22"/>
        <v>30</v>
      </c>
      <c r="S40" s="17">
        <f t="shared" si="22"/>
        <v>0</v>
      </c>
      <c r="T40" s="17">
        <f t="shared" si="22"/>
        <v>30</v>
      </c>
      <c r="U40" s="17">
        <f t="shared" si="22"/>
        <v>43</v>
      </c>
      <c r="V40" s="17">
        <f t="shared" si="22"/>
        <v>0</v>
      </c>
      <c r="W40" s="17">
        <f t="shared" si="22"/>
        <v>43</v>
      </c>
      <c r="X40" s="17">
        <f t="shared" si="22"/>
        <v>43</v>
      </c>
      <c r="Y40" s="17">
        <f t="shared" si="22"/>
        <v>0</v>
      </c>
      <c r="Z40" s="17">
        <f t="shared" si="22"/>
        <v>43</v>
      </c>
      <c r="AA40" s="17">
        <f t="shared" si="22"/>
        <v>3</v>
      </c>
      <c r="AB40" s="17">
        <f t="shared" si="22"/>
        <v>0</v>
      </c>
      <c r="AC40" s="17">
        <f t="shared" si="22"/>
        <v>3</v>
      </c>
      <c r="AD40" s="17">
        <f t="shared" si="22"/>
        <v>2</v>
      </c>
      <c r="AE40" s="17">
        <f t="shared" si="22"/>
        <v>0</v>
      </c>
      <c r="AF40" s="17">
        <f t="shared" si="22"/>
        <v>2</v>
      </c>
      <c r="AG40" s="17">
        <f t="shared" si="22"/>
        <v>12</v>
      </c>
      <c r="AH40" s="17">
        <f t="shared" si="22"/>
        <v>0</v>
      </c>
      <c r="AI40" s="17">
        <f t="shared" si="22"/>
        <v>12</v>
      </c>
      <c r="AJ40" s="17">
        <f t="shared" si="22"/>
        <v>12</v>
      </c>
      <c r="AK40" s="17">
        <f t="shared" si="22"/>
        <v>0</v>
      </c>
      <c r="AL40" s="17">
        <f t="shared" si="22"/>
        <v>12</v>
      </c>
      <c r="AM40" s="17">
        <f t="shared" si="22"/>
        <v>52</v>
      </c>
      <c r="AN40" s="17">
        <f t="shared" si="22"/>
        <v>0</v>
      </c>
      <c r="AO40" s="17">
        <f t="shared" si="22"/>
        <v>52</v>
      </c>
    </row>
    <row r="41" spans="1:41" ht="17.25" x14ac:dyDescent="0.3">
      <c r="A41" s="15"/>
      <c r="B41" s="16"/>
      <c r="C41" s="18"/>
      <c r="D41" s="18"/>
      <c r="F41" s="65"/>
      <c r="G41" s="65"/>
      <c r="H41" s="65">
        <f t="shared" si="0"/>
        <v>0</v>
      </c>
      <c r="I41" s="66"/>
      <c r="J41" s="66"/>
      <c r="K41" s="66">
        <f t="shared" si="1"/>
        <v>0</v>
      </c>
      <c r="L41" s="65"/>
      <c r="M41" s="65"/>
      <c r="N41" s="65">
        <f t="shared" si="2"/>
        <v>0</v>
      </c>
      <c r="O41" s="66"/>
      <c r="P41" s="66"/>
      <c r="Q41" s="66">
        <f t="shared" si="3"/>
        <v>0</v>
      </c>
      <c r="R41" s="65"/>
      <c r="S41" s="65"/>
      <c r="T41" s="65">
        <f t="shared" si="4"/>
        <v>0</v>
      </c>
      <c r="U41" s="66"/>
      <c r="V41" s="66"/>
      <c r="W41" s="66">
        <f t="shared" si="5"/>
        <v>0</v>
      </c>
      <c r="X41" s="65"/>
      <c r="Y41" s="65"/>
      <c r="Z41" s="65">
        <f t="shared" si="6"/>
        <v>0</v>
      </c>
      <c r="AA41" s="66"/>
      <c r="AB41" s="66"/>
      <c r="AC41" s="66">
        <f t="shared" si="7"/>
        <v>0</v>
      </c>
      <c r="AD41" s="65"/>
      <c r="AE41" s="65"/>
      <c r="AF41" s="65">
        <f t="shared" si="8"/>
        <v>0</v>
      </c>
      <c r="AG41" s="66"/>
      <c r="AH41" s="66"/>
      <c r="AI41" s="66">
        <f t="shared" si="9"/>
        <v>0</v>
      </c>
      <c r="AJ41" s="65"/>
      <c r="AK41" s="65"/>
      <c r="AL41" s="65">
        <f t="shared" si="10"/>
        <v>0</v>
      </c>
      <c r="AM41" s="66"/>
      <c r="AN41" s="66"/>
      <c r="AO41" s="66">
        <f t="shared" ref="AO41" si="23">AM41+AN41</f>
        <v>0</v>
      </c>
    </row>
    <row r="42" spans="1:41" ht="18" thickBot="1" x14ac:dyDescent="0.35">
      <c r="A42" s="4" t="s">
        <v>12</v>
      </c>
      <c r="B42" s="16"/>
      <c r="C42" s="23">
        <f>C33+C40</f>
        <v>-712545</v>
      </c>
      <c r="D42" s="23">
        <f>D33+D40</f>
        <v>280000</v>
      </c>
      <c r="F42" s="23">
        <f>F33+F40</f>
        <v>-345199</v>
      </c>
      <c r="G42" s="23">
        <f t="shared" ref="G42:AO42" si="24">G33+G40</f>
        <v>-385500</v>
      </c>
      <c r="H42" s="23">
        <f t="shared" si="24"/>
        <v>-730699</v>
      </c>
      <c r="I42" s="23">
        <f t="shared" si="24"/>
        <v>-89210</v>
      </c>
      <c r="J42" s="23">
        <f t="shared" si="24"/>
        <v>-300000</v>
      </c>
      <c r="K42" s="23">
        <f t="shared" si="24"/>
        <v>-389210</v>
      </c>
      <c r="L42" s="23">
        <f t="shared" si="24"/>
        <v>634484</v>
      </c>
      <c r="M42" s="23">
        <f t="shared" si="24"/>
        <v>0</v>
      </c>
      <c r="N42" s="23">
        <f t="shared" si="24"/>
        <v>634484</v>
      </c>
      <c r="O42" s="23">
        <f t="shared" si="24"/>
        <v>-227251</v>
      </c>
      <c r="P42" s="23">
        <f t="shared" si="24"/>
        <v>0</v>
      </c>
      <c r="Q42" s="23">
        <f t="shared" si="24"/>
        <v>-227251</v>
      </c>
      <c r="R42" s="23">
        <f t="shared" si="24"/>
        <v>7978</v>
      </c>
      <c r="S42" s="23">
        <f t="shared" si="24"/>
        <v>0</v>
      </c>
      <c r="T42" s="23">
        <f t="shared" si="24"/>
        <v>7978</v>
      </c>
      <c r="U42" s="23">
        <f t="shared" si="24"/>
        <v>13094</v>
      </c>
      <c r="V42" s="23">
        <f t="shared" si="24"/>
        <v>0</v>
      </c>
      <c r="W42" s="23">
        <f t="shared" si="24"/>
        <v>13094</v>
      </c>
      <c r="X42" s="23">
        <f t="shared" si="24"/>
        <v>-1392</v>
      </c>
      <c r="Y42" s="23">
        <f t="shared" si="24"/>
        <v>0</v>
      </c>
      <c r="Z42" s="23">
        <f t="shared" si="24"/>
        <v>-1392</v>
      </c>
      <c r="AA42" s="23">
        <f t="shared" si="24"/>
        <v>1186</v>
      </c>
      <c r="AB42" s="23">
        <f t="shared" si="24"/>
        <v>0</v>
      </c>
      <c r="AC42" s="23">
        <f t="shared" si="24"/>
        <v>1186</v>
      </c>
      <c r="AD42" s="23">
        <f t="shared" si="24"/>
        <v>-676</v>
      </c>
      <c r="AE42" s="23">
        <f t="shared" si="24"/>
        <v>0</v>
      </c>
      <c r="AF42" s="23">
        <f t="shared" si="24"/>
        <v>-676</v>
      </c>
      <c r="AG42" s="23">
        <f t="shared" si="24"/>
        <v>12</v>
      </c>
      <c r="AH42" s="23">
        <f t="shared" si="24"/>
        <v>0</v>
      </c>
      <c r="AI42" s="23">
        <f t="shared" si="24"/>
        <v>12</v>
      </c>
      <c r="AJ42" s="23">
        <f t="shared" si="24"/>
        <v>-20120</v>
      </c>
      <c r="AK42" s="23">
        <f t="shared" si="24"/>
        <v>0</v>
      </c>
      <c r="AL42" s="23">
        <f t="shared" si="24"/>
        <v>-20120</v>
      </c>
      <c r="AM42" s="23">
        <f t="shared" si="24"/>
        <v>49</v>
      </c>
      <c r="AN42" s="23">
        <f t="shared" si="24"/>
        <v>0</v>
      </c>
      <c r="AO42" s="23">
        <f t="shared" si="24"/>
        <v>49</v>
      </c>
    </row>
    <row r="43" spans="1:41" ht="18" thickTop="1" x14ac:dyDescent="0.3">
      <c r="A43" s="15"/>
      <c r="B43" s="16"/>
      <c r="C43" s="24"/>
      <c r="D43" s="24"/>
      <c r="F43" s="65"/>
      <c r="G43" s="65"/>
      <c r="H43" s="65"/>
      <c r="I43" s="66"/>
      <c r="J43" s="66"/>
      <c r="K43" s="66"/>
      <c r="L43" s="65"/>
      <c r="M43" s="65"/>
      <c r="N43" s="65"/>
      <c r="O43" s="66"/>
      <c r="P43" s="66"/>
      <c r="Q43" s="66"/>
      <c r="R43" s="65"/>
      <c r="S43" s="65"/>
      <c r="T43" s="65"/>
      <c r="U43" s="66"/>
      <c r="V43" s="66"/>
      <c r="W43" s="66"/>
      <c r="X43" s="65"/>
      <c r="Y43" s="65"/>
      <c r="Z43" s="65"/>
      <c r="AA43" s="66"/>
      <c r="AB43" s="66"/>
      <c r="AC43" s="66"/>
      <c r="AD43" s="65"/>
      <c r="AE43" s="65"/>
      <c r="AF43" s="65"/>
      <c r="AG43" s="66"/>
      <c r="AH43" s="66"/>
      <c r="AI43" s="66"/>
      <c r="AJ43" s="65"/>
      <c r="AK43" s="65"/>
      <c r="AL43" s="65"/>
      <c r="AM43" s="66"/>
      <c r="AN43" s="66"/>
      <c r="AO43" s="66"/>
    </row>
    <row r="44" spans="1:41" ht="21.95" customHeight="1" x14ac:dyDescent="0.3">
      <c r="A44" s="15"/>
      <c r="B44" s="16"/>
      <c r="C44" s="24"/>
      <c r="D44" s="24"/>
      <c r="F44" s="65"/>
      <c r="G44" s="65"/>
      <c r="H44" s="65"/>
      <c r="I44" s="66"/>
      <c r="J44" s="66"/>
      <c r="K44" s="66"/>
      <c r="L44" s="65"/>
      <c r="M44" s="65"/>
      <c r="N44" s="65"/>
      <c r="O44" s="66"/>
      <c r="P44" s="66"/>
      <c r="Q44" s="66"/>
      <c r="R44" s="65"/>
      <c r="S44" s="65"/>
      <c r="T44" s="65"/>
      <c r="U44" s="66"/>
      <c r="V44" s="66"/>
      <c r="W44" s="66"/>
      <c r="X44" s="65"/>
      <c r="Y44" s="65"/>
      <c r="Z44" s="65"/>
      <c r="AA44" s="66"/>
      <c r="AB44" s="66"/>
      <c r="AC44" s="66"/>
      <c r="AD44" s="65"/>
      <c r="AE44" s="65"/>
      <c r="AF44" s="65"/>
      <c r="AG44" s="66"/>
      <c r="AH44" s="66"/>
      <c r="AI44" s="66"/>
      <c r="AJ44" s="65"/>
      <c r="AK44" s="65"/>
      <c r="AL44" s="65"/>
      <c r="AM44" s="66"/>
      <c r="AN44" s="66"/>
      <c r="AO44" s="66"/>
    </row>
    <row r="45" spans="1:41" ht="17.25" x14ac:dyDescent="0.3">
      <c r="A45" s="4" t="s">
        <v>13</v>
      </c>
      <c r="B45" s="25"/>
      <c r="C45" s="26"/>
      <c r="D45" s="26"/>
      <c r="F45" s="65"/>
      <c r="G45" s="65"/>
      <c r="H45" s="65"/>
      <c r="I45" s="66"/>
      <c r="J45" s="66"/>
      <c r="K45" s="66"/>
      <c r="L45" s="65"/>
      <c r="M45" s="65"/>
      <c r="N45" s="65"/>
      <c r="O45" s="66"/>
      <c r="P45" s="66"/>
      <c r="Q45" s="66"/>
      <c r="R45" s="65"/>
      <c r="S45" s="65"/>
      <c r="T45" s="65"/>
      <c r="U45" s="66"/>
      <c r="V45" s="66"/>
      <c r="W45" s="66"/>
      <c r="X45" s="65"/>
      <c r="Y45" s="65"/>
      <c r="Z45" s="65"/>
      <c r="AA45" s="66"/>
      <c r="AB45" s="66"/>
      <c r="AC45" s="66"/>
      <c r="AD45" s="65"/>
      <c r="AE45" s="65"/>
      <c r="AF45" s="65"/>
      <c r="AG45" s="66"/>
      <c r="AH45" s="66"/>
      <c r="AI45" s="66"/>
      <c r="AJ45" s="65"/>
      <c r="AK45" s="65"/>
      <c r="AL45" s="65"/>
      <c r="AM45" s="66"/>
      <c r="AN45" s="66"/>
      <c r="AO45" s="66"/>
    </row>
    <row r="46" spans="1:41" ht="17.25" x14ac:dyDescent="0.3">
      <c r="A46" s="15" t="s">
        <v>14</v>
      </c>
      <c r="B46" s="16"/>
      <c r="C46" s="14">
        <f>H46+K46+N46+Q46+T46+W46+Z46+AC46+AF46+AI46+AL46+AO46</f>
        <v>-712545</v>
      </c>
      <c r="D46" s="27">
        <f>D42</f>
        <v>280000</v>
      </c>
      <c r="F46" s="27">
        <f>F42</f>
        <v>-345199</v>
      </c>
      <c r="G46" s="27">
        <f t="shared" ref="G46:AO46" si="25">G42</f>
        <v>-385500</v>
      </c>
      <c r="H46" s="27">
        <f t="shared" si="25"/>
        <v>-730699</v>
      </c>
      <c r="I46" s="27">
        <f t="shared" si="25"/>
        <v>-89210</v>
      </c>
      <c r="J46" s="27">
        <f t="shared" si="25"/>
        <v>-300000</v>
      </c>
      <c r="K46" s="27">
        <f t="shared" si="25"/>
        <v>-389210</v>
      </c>
      <c r="L46" s="27">
        <f t="shared" si="25"/>
        <v>634484</v>
      </c>
      <c r="M46" s="27">
        <f t="shared" si="25"/>
        <v>0</v>
      </c>
      <c r="N46" s="27">
        <f>L46+M46</f>
        <v>634484</v>
      </c>
      <c r="O46" s="27">
        <f t="shared" si="25"/>
        <v>-227251</v>
      </c>
      <c r="P46" s="27">
        <f t="shared" si="25"/>
        <v>0</v>
      </c>
      <c r="Q46" s="27">
        <f t="shared" si="25"/>
        <v>-227251</v>
      </c>
      <c r="R46" s="27">
        <f t="shared" si="25"/>
        <v>7978</v>
      </c>
      <c r="S46" s="27"/>
      <c r="T46" s="27">
        <f>R46+S46</f>
        <v>7978</v>
      </c>
      <c r="U46" s="27">
        <f t="shared" si="25"/>
        <v>13094</v>
      </c>
      <c r="V46" s="27">
        <f t="shared" si="25"/>
        <v>0</v>
      </c>
      <c r="W46" s="27">
        <f t="shared" si="25"/>
        <v>13094</v>
      </c>
      <c r="X46" s="27">
        <f t="shared" si="25"/>
        <v>-1392</v>
      </c>
      <c r="Y46" s="27">
        <f t="shared" si="25"/>
        <v>0</v>
      </c>
      <c r="Z46" s="27">
        <f t="shared" si="25"/>
        <v>-1392</v>
      </c>
      <c r="AA46" s="27">
        <f t="shared" si="25"/>
        <v>1186</v>
      </c>
      <c r="AB46" s="27">
        <f t="shared" si="25"/>
        <v>0</v>
      </c>
      <c r="AC46" s="27">
        <f t="shared" si="25"/>
        <v>1186</v>
      </c>
      <c r="AD46" s="27">
        <f t="shared" si="25"/>
        <v>-676</v>
      </c>
      <c r="AE46" s="27">
        <f t="shared" si="25"/>
        <v>0</v>
      </c>
      <c r="AF46" s="27">
        <f t="shared" si="25"/>
        <v>-676</v>
      </c>
      <c r="AG46" s="27">
        <f t="shared" si="25"/>
        <v>12</v>
      </c>
      <c r="AH46" s="27">
        <f t="shared" si="25"/>
        <v>0</v>
      </c>
      <c r="AI46" s="27">
        <f t="shared" si="25"/>
        <v>12</v>
      </c>
      <c r="AJ46" s="27">
        <f t="shared" si="25"/>
        <v>-20120</v>
      </c>
      <c r="AK46" s="27">
        <f t="shared" si="25"/>
        <v>0</v>
      </c>
      <c r="AL46" s="27">
        <f t="shared" si="25"/>
        <v>-20120</v>
      </c>
      <c r="AM46" s="27">
        <f t="shared" si="25"/>
        <v>49</v>
      </c>
      <c r="AN46" s="27">
        <f t="shared" si="25"/>
        <v>0</v>
      </c>
      <c r="AO46" s="27">
        <f t="shared" si="25"/>
        <v>49</v>
      </c>
    </row>
    <row r="47" spans="1:41" ht="18.95" customHeight="1" thickBot="1" x14ac:dyDescent="0.35">
      <c r="A47" s="4" t="s">
        <v>15</v>
      </c>
      <c r="B47" s="16"/>
      <c r="C47" s="23">
        <f>SUM(C46:C46)</f>
        <v>-712545</v>
      </c>
      <c r="D47" s="23">
        <f>D42</f>
        <v>280000</v>
      </c>
      <c r="F47" s="23">
        <f t="shared" ref="F47:AO47" si="26">SUM(F46:F46)</f>
        <v>-345199</v>
      </c>
      <c r="G47" s="23">
        <f t="shared" si="26"/>
        <v>-385500</v>
      </c>
      <c r="H47" s="23">
        <f t="shared" si="26"/>
        <v>-730699</v>
      </c>
      <c r="I47" s="23">
        <f t="shared" si="26"/>
        <v>-89210</v>
      </c>
      <c r="J47" s="23">
        <f t="shared" si="26"/>
        <v>-300000</v>
      </c>
      <c r="K47" s="23">
        <f t="shared" si="26"/>
        <v>-389210</v>
      </c>
      <c r="L47" s="23">
        <f t="shared" si="26"/>
        <v>634484</v>
      </c>
      <c r="M47" s="23">
        <f t="shared" si="26"/>
        <v>0</v>
      </c>
      <c r="N47" s="23">
        <f t="shared" si="26"/>
        <v>634484</v>
      </c>
      <c r="O47" s="23">
        <f t="shared" si="26"/>
        <v>-227251</v>
      </c>
      <c r="P47" s="23">
        <f t="shared" si="26"/>
        <v>0</v>
      </c>
      <c r="Q47" s="23">
        <f t="shared" si="26"/>
        <v>-227251</v>
      </c>
      <c r="R47" s="23">
        <f t="shared" si="26"/>
        <v>7978</v>
      </c>
      <c r="S47" s="23">
        <f t="shared" si="26"/>
        <v>0</v>
      </c>
      <c r="T47" s="23">
        <f t="shared" si="26"/>
        <v>7978</v>
      </c>
      <c r="U47" s="23">
        <f t="shared" si="26"/>
        <v>13094</v>
      </c>
      <c r="V47" s="23">
        <f t="shared" si="26"/>
        <v>0</v>
      </c>
      <c r="W47" s="23">
        <f t="shared" si="26"/>
        <v>13094</v>
      </c>
      <c r="X47" s="23">
        <f t="shared" si="26"/>
        <v>-1392</v>
      </c>
      <c r="Y47" s="23">
        <f t="shared" si="26"/>
        <v>0</v>
      </c>
      <c r="Z47" s="23">
        <f t="shared" si="26"/>
        <v>-1392</v>
      </c>
      <c r="AA47" s="23">
        <f t="shared" si="26"/>
        <v>1186</v>
      </c>
      <c r="AB47" s="23">
        <f t="shared" si="26"/>
        <v>0</v>
      </c>
      <c r="AC47" s="23">
        <f t="shared" si="26"/>
        <v>1186</v>
      </c>
      <c r="AD47" s="23">
        <f t="shared" si="26"/>
        <v>-676</v>
      </c>
      <c r="AE47" s="23">
        <f t="shared" si="26"/>
        <v>0</v>
      </c>
      <c r="AF47" s="23">
        <f t="shared" si="26"/>
        <v>-676</v>
      </c>
      <c r="AG47" s="23">
        <f t="shared" si="26"/>
        <v>12</v>
      </c>
      <c r="AH47" s="23">
        <f t="shared" si="26"/>
        <v>0</v>
      </c>
      <c r="AI47" s="23">
        <f t="shared" si="26"/>
        <v>12</v>
      </c>
      <c r="AJ47" s="23">
        <f t="shared" si="26"/>
        <v>-20120</v>
      </c>
      <c r="AK47" s="23">
        <f t="shared" si="26"/>
        <v>0</v>
      </c>
      <c r="AL47" s="23">
        <f t="shared" si="26"/>
        <v>-20120</v>
      </c>
      <c r="AM47" s="23">
        <f t="shared" si="26"/>
        <v>49</v>
      </c>
      <c r="AN47" s="23">
        <f t="shared" si="26"/>
        <v>0</v>
      </c>
      <c r="AO47" s="23">
        <f t="shared" si="26"/>
        <v>49</v>
      </c>
    </row>
    <row r="48" spans="1:41" ht="18.95" customHeight="1" thickTop="1" x14ac:dyDescent="0.3">
      <c r="A48" s="4"/>
      <c r="B48" s="16"/>
      <c r="C48" s="28"/>
      <c r="D48" s="29"/>
      <c r="F48" s="65"/>
      <c r="G48" s="65"/>
      <c r="H48" s="65"/>
      <c r="I48" s="66"/>
      <c r="J48" s="66"/>
      <c r="K48" s="66"/>
      <c r="L48" s="65"/>
      <c r="M48" s="65"/>
      <c r="N48" s="65"/>
      <c r="O48" s="66"/>
      <c r="P48" s="66"/>
      <c r="Q48" s="66"/>
      <c r="R48" s="65"/>
      <c r="S48" s="65"/>
      <c r="T48" s="65"/>
      <c r="U48" s="66"/>
      <c r="V48" s="66"/>
      <c r="W48" s="66"/>
      <c r="X48" s="65"/>
      <c r="Y48" s="65"/>
      <c r="Z48" s="65"/>
      <c r="AA48" s="66"/>
      <c r="AB48" s="66"/>
      <c r="AC48" s="66"/>
      <c r="AD48" s="65"/>
      <c r="AE48" s="65"/>
      <c r="AF48" s="65"/>
      <c r="AG48" s="66"/>
      <c r="AH48" s="66"/>
      <c r="AI48" s="66"/>
      <c r="AJ48" s="65"/>
      <c r="AK48" s="65"/>
      <c r="AL48" s="65"/>
      <c r="AM48" s="66"/>
      <c r="AN48" s="66"/>
      <c r="AO48" s="66"/>
    </row>
    <row r="49" spans="1:41" ht="18.95" customHeight="1" x14ac:dyDescent="0.3">
      <c r="A49" s="4"/>
      <c r="B49" s="16"/>
      <c r="C49" s="28"/>
      <c r="D49" s="29"/>
      <c r="F49" s="65"/>
      <c r="G49" s="65"/>
      <c r="H49" s="65"/>
      <c r="I49" s="66"/>
      <c r="J49" s="66"/>
      <c r="K49" s="66"/>
      <c r="L49" s="65"/>
      <c r="M49" s="65"/>
      <c r="N49" s="65"/>
      <c r="O49" s="66"/>
      <c r="P49" s="66"/>
      <c r="Q49" s="66"/>
      <c r="R49" s="65"/>
      <c r="S49" s="65"/>
      <c r="T49" s="65"/>
      <c r="U49" s="66"/>
      <c r="V49" s="66"/>
      <c r="W49" s="66"/>
      <c r="X49" s="65"/>
      <c r="Y49" s="65"/>
      <c r="Z49" s="65"/>
      <c r="AA49" s="66"/>
      <c r="AB49" s="66"/>
      <c r="AC49" s="66"/>
      <c r="AD49" s="65"/>
      <c r="AE49" s="65"/>
      <c r="AF49" s="65"/>
      <c r="AG49" s="66"/>
      <c r="AH49" s="66"/>
      <c r="AI49" s="66"/>
      <c r="AJ49" s="65"/>
      <c r="AK49" s="65"/>
      <c r="AL49" s="65"/>
      <c r="AM49" s="66"/>
      <c r="AN49" s="66"/>
      <c r="AO49" s="66"/>
    </row>
    <row r="50" spans="1:41" ht="30" customHeight="1" x14ac:dyDescent="0.4">
      <c r="A50" s="1" t="str">
        <f>A1</f>
        <v>Otta Idrettslag - med undergrupper</v>
      </c>
      <c r="B50" s="16"/>
      <c r="C50" s="28"/>
      <c r="D50" s="29"/>
      <c r="F50" s="65"/>
      <c r="G50" s="65"/>
      <c r="H50" s="65"/>
      <c r="I50" s="66"/>
      <c r="J50" s="66"/>
      <c r="K50" s="66"/>
      <c r="L50" s="65"/>
      <c r="M50" s="65"/>
      <c r="N50" s="65"/>
      <c r="O50" s="66"/>
      <c r="P50" s="66"/>
      <c r="Q50" s="66"/>
      <c r="R50" s="65"/>
      <c r="S50" s="65"/>
      <c r="T50" s="65"/>
      <c r="U50" s="66"/>
      <c r="V50" s="66"/>
      <c r="W50" s="66"/>
      <c r="X50" s="65"/>
      <c r="Y50" s="65"/>
      <c r="Z50" s="65"/>
      <c r="AA50" s="66"/>
      <c r="AB50" s="66"/>
      <c r="AC50" s="66"/>
      <c r="AD50" s="65"/>
      <c r="AE50" s="65"/>
      <c r="AF50" s="65"/>
      <c r="AG50" s="66"/>
      <c r="AH50" s="66"/>
      <c r="AI50" s="66"/>
      <c r="AJ50" s="65"/>
      <c r="AK50" s="65"/>
      <c r="AL50" s="65"/>
      <c r="AM50" s="66"/>
      <c r="AN50" s="66"/>
      <c r="AO50" s="66"/>
    </row>
    <row r="51" spans="1:41" x14ac:dyDescent="0.2">
      <c r="A51" s="15"/>
      <c r="B51" s="115"/>
      <c r="C51" s="14"/>
      <c r="D51" s="14"/>
      <c r="F51" s="65"/>
      <c r="G51" s="65"/>
      <c r="H51" s="65"/>
      <c r="I51" s="66"/>
      <c r="J51" s="66"/>
      <c r="K51" s="66"/>
      <c r="L51" s="65"/>
      <c r="M51" s="65"/>
      <c r="N51" s="65"/>
      <c r="O51" s="66"/>
      <c r="P51" s="66"/>
      <c r="Q51" s="66"/>
      <c r="R51" s="65"/>
      <c r="S51" s="65"/>
      <c r="T51" s="65"/>
      <c r="U51" s="66"/>
      <c r="V51" s="66"/>
      <c r="W51" s="66"/>
      <c r="X51" s="65"/>
      <c r="Y51" s="65"/>
      <c r="Z51" s="65"/>
      <c r="AA51" s="66"/>
      <c r="AB51" s="66"/>
      <c r="AC51" s="66"/>
      <c r="AD51" s="65"/>
      <c r="AE51" s="65"/>
      <c r="AF51" s="65"/>
      <c r="AG51" s="66"/>
      <c r="AH51" s="66"/>
      <c r="AI51" s="66"/>
      <c r="AJ51" s="65"/>
      <c r="AK51" s="65"/>
      <c r="AL51" s="65"/>
      <c r="AM51" s="66"/>
      <c r="AN51" s="66"/>
      <c r="AO51" s="66"/>
    </row>
    <row r="52" spans="1:41" x14ac:dyDescent="0.2">
      <c r="A52" s="4" t="s">
        <v>16</v>
      </c>
      <c r="B52" s="115"/>
      <c r="C52" s="30"/>
      <c r="D52" s="30"/>
      <c r="F52" s="65"/>
      <c r="G52" s="65"/>
      <c r="H52" s="65"/>
      <c r="I52" s="66"/>
      <c r="J52" s="66"/>
      <c r="K52" s="66"/>
      <c r="L52" s="65"/>
      <c r="M52" s="65"/>
      <c r="N52" s="65"/>
      <c r="O52" s="66"/>
      <c r="P52" s="66"/>
      <c r="Q52" s="66"/>
      <c r="R52" s="65"/>
      <c r="S52" s="65"/>
      <c r="T52" s="65"/>
      <c r="U52" s="66"/>
      <c r="V52" s="66"/>
      <c r="W52" s="66"/>
      <c r="X52" s="65"/>
      <c r="Y52" s="65"/>
      <c r="Z52" s="65"/>
      <c r="AA52" s="66"/>
      <c r="AB52" s="66"/>
      <c r="AC52" s="66"/>
      <c r="AD52" s="65"/>
      <c r="AE52" s="65"/>
      <c r="AF52" s="65"/>
      <c r="AG52" s="66"/>
      <c r="AH52" s="66"/>
      <c r="AI52" s="66"/>
      <c r="AJ52" s="65"/>
      <c r="AK52" s="65"/>
      <c r="AL52" s="65"/>
      <c r="AM52" s="66"/>
      <c r="AN52" s="66"/>
      <c r="AO52" s="66"/>
    </row>
    <row r="53" spans="1:41" x14ac:dyDescent="0.2">
      <c r="A53" s="31"/>
      <c r="B53" s="32"/>
      <c r="C53" s="33">
        <f>C4</f>
        <v>2012</v>
      </c>
      <c r="D53" s="34"/>
      <c r="F53" s="65"/>
      <c r="G53" s="65"/>
      <c r="H53" s="65"/>
      <c r="I53" s="66"/>
      <c r="J53" s="66"/>
      <c r="K53" s="66"/>
      <c r="L53" s="65"/>
      <c r="M53" s="65"/>
      <c r="N53" s="65"/>
      <c r="O53" s="66"/>
      <c r="P53" s="66"/>
      <c r="Q53" s="66"/>
      <c r="R53" s="65"/>
      <c r="S53" s="65"/>
      <c r="T53" s="65"/>
      <c r="U53" s="66"/>
      <c r="V53" s="66"/>
      <c r="W53" s="66"/>
      <c r="X53" s="65"/>
      <c r="Y53" s="65"/>
      <c r="Z53" s="65"/>
      <c r="AA53" s="66"/>
      <c r="AB53" s="66"/>
      <c r="AC53" s="66"/>
      <c r="AD53" s="65"/>
      <c r="AE53" s="65"/>
      <c r="AF53" s="65"/>
      <c r="AG53" s="66"/>
      <c r="AH53" s="66"/>
      <c r="AI53" s="66"/>
      <c r="AJ53" s="65"/>
      <c r="AK53" s="65"/>
      <c r="AL53" s="65"/>
      <c r="AM53" s="66"/>
      <c r="AN53" s="66"/>
      <c r="AO53" s="66"/>
    </row>
    <row r="54" spans="1:41" ht="15.75" x14ac:dyDescent="0.25">
      <c r="A54" s="35" t="s">
        <v>17</v>
      </c>
      <c r="B54" s="36" t="s">
        <v>4</v>
      </c>
      <c r="C54" s="37"/>
      <c r="D54" s="38"/>
      <c r="F54" s="65"/>
      <c r="G54" s="65"/>
      <c r="H54" s="65"/>
      <c r="I54" s="66"/>
      <c r="J54" s="66"/>
      <c r="K54" s="66"/>
      <c r="L54" s="65"/>
      <c r="M54" s="65"/>
      <c r="N54" s="65"/>
      <c r="O54" s="66"/>
      <c r="P54" s="66"/>
      <c r="Q54" s="66"/>
      <c r="R54" s="65"/>
      <c r="S54" s="65"/>
      <c r="T54" s="65"/>
      <c r="U54" s="66"/>
      <c r="V54" s="66"/>
      <c r="W54" s="66"/>
      <c r="X54" s="65"/>
      <c r="Y54" s="65"/>
      <c r="Z54" s="65"/>
      <c r="AA54" s="66"/>
      <c r="AB54" s="66"/>
      <c r="AC54" s="66"/>
      <c r="AD54" s="65"/>
      <c r="AE54" s="65"/>
      <c r="AF54" s="65"/>
      <c r="AG54" s="66"/>
      <c r="AH54" s="66"/>
      <c r="AI54" s="66"/>
      <c r="AJ54" s="65"/>
      <c r="AK54" s="65"/>
      <c r="AL54" s="65"/>
      <c r="AM54" s="66"/>
      <c r="AN54" s="66"/>
      <c r="AO54" s="66"/>
    </row>
    <row r="55" spans="1:41" ht="19.5" customHeight="1" x14ac:dyDescent="0.25">
      <c r="A55" s="39"/>
      <c r="B55" s="40"/>
      <c r="C55" s="41"/>
      <c r="D55" s="38"/>
      <c r="F55" s="65"/>
      <c r="G55" s="65"/>
      <c r="H55" s="65"/>
      <c r="I55" s="66"/>
      <c r="J55" s="66"/>
      <c r="K55" s="66"/>
      <c r="L55" s="65"/>
      <c r="M55" s="65"/>
      <c r="N55" s="65"/>
      <c r="O55" s="66"/>
      <c r="P55" s="66"/>
      <c r="Q55" s="66"/>
      <c r="R55" s="65"/>
      <c r="S55" s="65"/>
      <c r="T55" s="65"/>
      <c r="U55" s="66"/>
      <c r="V55" s="66"/>
      <c r="W55" s="66"/>
      <c r="X55" s="65"/>
      <c r="Y55" s="65"/>
      <c r="Z55" s="65"/>
      <c r="AA55" s="66"/>
      <c r="AB55" s="66"/>
      <c r="AC55" s="66"/>
      <c r="AD55" s="65"/>
      <c r="AE55" s="65"/>
      <c r="AF55" s="65"/>
      <c r="AG55" s="66"/>
      <c r="AH55" s="66"/>
      <c r="AI55" s="66"/>
      <c r="AJ55" s="65"/>
      <c r="AK55" s="65"/>
      <c r="AL55" s="65"/>
      <c r="AM55" s="66"/>
      <c r="AN55" s="66"/>
      <c r="AO55" s="66"/>
    </row>
    <row r="56" spans="1:41" ht="15.75" x14ac:dyDescent="0.25">
      <c r="A56" s="4" t="s">
        <v>18</v>
      </c>
      <c r="B56" s="16"/>
      <c r="C56" s="41"/>
      <c r="D56" s="42"/>
      <c r="F56" s="65"/>
      <c r="G56" s="65"/>
      <c r="H56" s="65"/>
      <c r="I56" s="66"/>
      <c r="J56" s="66"/>
      <c r="K56" s="66"/>
      <c r="L56" s="65"/>
      <c r="M56" s="65"/>
      <c r="N56" s="65"/>
      <c r="O56" s="66"/>
      <c r="P56" s="66"/>
      <c r="Q56" s="66"/>
      <c r="R56" s="65"/>
      <c r="S56" s="65"/>
      <c r="T56" s="65"/>
      <c r="U56" s="66"/>
      <c r="V56" s="66"/>
      <c r="W56" s="66"/>
      <c r="X56" s="65"/>
      <c r="Y56" s="65"/>
      <c r="Z56" s="65"/>
      <c r="AA56" s="66"/>
      <c r="AB56" s="66"/>
      <c r="AC56" s="66"/>
      <c r="AD56" s="65"/>
      <c r="AE56" s="65"/>
      <c r="AF56" s="65"/>
      <c r="AG56" s="66"/>
      <c r="AH56" s="66"/>
      <c r="AI56" s="66"/>
      <c r="AJ56" s="65"/>
      <c r="AK56" s="65"/>
      <c r="AL56" s="65"/>
      <c r="AM56" s="66"/>
      <c r="AN56" s="66"/>
      <c r="AO56" s="66"/>
    </row>
    <row r="57" spans="1:41" ht="14.1" customHeight="1" x14ac:dyDescent="0.3">
      <c r="A57" s="15"/>
      <c r="B57" s="16"/>
      <c r="C57" s="41"/>
      <c r="D57" s="28"/>
      <c r="F57" s="65"/>
      <c r="G57" s="65"/>
      <c r="H57" s="65"/>
      <c r="I57" s="66"/>
      <c r="J57" s="66"/>
      <c r="K57" s="66"/>
      <c r="L57" s="65"/>
      <c r="M57" s="65"/>
      <c r="N57" s="65"/>
      <c r="O57" s="66"/>
      <c r="P57" s="66"/>
      <c r="Q57" s="66"/>
      <c r="R57" s="65"/>
      <c r="S57" s="65"/>
      <c r="T57" s="65"/>
      <c r="U57" s="66"/>
      <c r="V57" s="66"/>
      <c r="W57" s="66"/>
      <c r="X57" s="65"/>
      <c r="Y57" s="65"/>
      <c r="Z57" s="65"/>
      <c r="AA57" s="66"/>
      <c r="AB57" s="66"/>
      <c r="AC57" s="66"/>
      <c r="AD57" s="65"/>
      <c r="AE57" s="65"/>
      <c r="AF57" s="65"/>
      <c r="AG57" s="66"/>
      <c r="AH57" s="66"/>
      <c r="AI57" s="66"/>
      <c r="AJ57" s="65"/>
      <c r="AK57" s="65"/>
      <c r="AL57" s="65"/>
      <c r="AM57" s="66"/>
      <c r="AN57" s="66"/>
      <c r="AO57" s="66"/>
    </row>
    <row r="58" spans="1:41" ht="15.75" x14ac:dyDescent="0.25">
      <c r="A58" s="70" t="s">
        <v>70</v>
      </c>
      <c r="B58" s="16"/>
      <c r="C58" s="41"/>
      <c r="D58" s="42"/>
      <c r="F58" s="65"/>
      <c r="G58" s="65"/>
      <c r="H58" s="65"/>
      <c r="I58" s="66"/>
      <c r="J58" s="66"/>
      <c r="K58" s="66"/>
      <c r="L58" s="65"/>
      <c r="M58" s="65"/>
      <c r="N58" s="65"/>
      <c r="O58" s="66"/>
      <c r="P58" s="66"/>
      <c r="Q58" s="66"/>
      <c r="R58" s="65"/>
      <c r="S58" s="65"/>
      <c r="T58" s="65"/>
      <c r="U58" s="66"/>
      <c r="V58" s="66"/>
      <c r="W58" s="66"/>
      <c r="X58" s="65"/>
      <c r="Y58" s="65"/>
      <c r="Z58" s="65"/>
      <c r="AA58" s="66"/>
      <c r="AB58" s="66"/>
      <c r="AC58" s="66"/>
      <c r="AD58" s="65"/>
      <c r="AE58" s="65"/>
      <c r="AF58" s="65"/>
      <c r="AG58" s="66"/>
      <c r="AH58" s="66"/>
      <c r="AI58" s="66"/>
      <c r="AJ58" s="65"/>
      <c r="AK58" s="65"/>
      <c r="AL58" s="65"/>
      <c r="AM58" s="66"/>
      <c r="AN58" s="66"/>
      <c r="AO58" s="66"/>
    </row>
    <row r="59" spans="1:41" ht="15.75" x14ac:dyDescent="0.25">
      <c r="A59" s="68" t="s">
        <v>66</v>
      </c>
      <c r="B59" s="16"/>
      <c r="C59" s="14">
        <f>H59+K59+N59+Q59+T59+W59+Z59+AC59+AF59+AI59+AL59+AO59</f>
        <v>1899200</v>
      </c>
      <c r="D59" s="42"/>
      <c r="F59" s="65">
        <v>1899200</v>
      </c>
      <c r="G59" s="65"/>
      <c r="H59" s="65">
        <f t="shared" ref="H59:H96" si="27">F59+G59</f>
        <v>1899200</v>
      </c>
      <c r="I59" s="66"/>
      <c r="J59" s="66"/>
      <c r="K59" s="66">
        <f t="shared" ref="K59:K96" si="28">I59+J59</f>
        <v>0</v>
      </c>
      <c r="L59" s="65"/>
      <c r="M59" s="65"/>
      <c r="N59" s="65">
        <f t="shared" ref="N59:N96" si="29">L59+M59</f>
        <v>0</v>
      </c>
      <c r="O59" s="66"/>
      <c r="P59" s="66"/>
      <c r="Q59" s="66">
        <f t="shared" ref="Q59:Q96" si="30">O59+P59</f>
        <v>0</v>
      </c>
      <c r="R59" s="65"/>
      <c r="S59" s="65"/>
      <c r="T59" s="65">
        <f t="shared" ref="T59:T96" si="31">R59+S59</f>
        <v>0</v>
      </c>
      <c r="U59" s="66"/>
      <c r="V59" s="66"/>
      <c r="W59" s="66">
        <f t="shared" ref="W59:W96" si="32">U59+V59</f>
        <v>0</v>
      </c>
      <c r="X59" s="65"/>
      <c r="Y59" s="65"/>
      <c r="Z59" s="65">
        <f t="shared" ref="Z59:Z96" si="33">X59+Y59</f>
        <v>0</v>
      </c>
      <c r="AA59" s="66"/>
      <c r="AB59" s="66"/>
      <c r="AC59" s="66">
        <f t="shared" ref="AC59:AC96" si="34">AA59+AB59</f>
        <v>0</v>
      </c>
      <c r="AD59" s="65"/>
      <c r="AE59" s="65"/>
      <c r="AF59" s="65">
        <f t="shared" ref="AF59:AF96" si="35">AD59+AE59</f>
        <v>0</v>
      </c>
      <c r="AG59" s="66"/>
      <c r="AH59" s="66"/>
      <c r="AI59" s="66">
        <f t="shared" ref="AI59:AI96" si="36">AG59+AH59</f>
        <v>0</v>
      </c>
      <c r="AJ59" s="65"/>
      <c r="AK59" s="65"/>
      <c r="AL59" s="65">
        <f t="shared" ref="AL59:AL96" si="37">AJ59+AK59</f>
        <v>0</v>
      </c>
      <c r="AM59" s="66"/>
      <c r="AN59" s="66"/>
      <c r="AO59" s="66">
        <f t="shared" ref="AO59:AO60" si="38">AM59+AN59</f>
        <v>0</v>
      </c>
    </row>
    <row r="60" spans="1:41" ht="17.25" x14ac:dyDescent="0.3">
      <c r="A60" s="68" t="s">
        <v>67</v>
      </c>
      <c r="B60" s="16"/>
      <c r="C60" s="14">
        <f>H60+K60+N60+Q60+T60+W60+Z60+AC60+AF60+AI60+AL60+AO60</f>
        <v>14800</v>
      </c>
      <c r="D60" s="24"/>
      <c r="F60" s="65">
        <v>0</v>
      </c>
      <c r="G60" s="65"/>
      <c r="H60" s="65">
        <f t="shared" si="27"/>
        <v>0</v>
      </c>
      <c r="I60" s="66">
        <v>14800</v>
      </c>
      <c r="J60" s="66"/>
      <c r="K60" s="66">
        <f t="shared" si="28"/>
        <v>14800</v>
      </c>
      <c r="L60" s="65"/>
      <c r="M60" s="65"/>
      <c r="N60" s="65">
        <f t="shared" si="29"/>
        <v>0</v>
      </c>
      <c r="O60" s="66"/>
      <c r="P60" s="66"/>
      <c r="Q60" s="66">
        <f t="shared" si="30"/>
        <v>0</v>
      </c>
      <c r="R60" s="65"/>
      <c r="S60" s="65"/>
      <c r="T60" s="65">
        <f t="shared" si="31"/>
        <v>0</v>
      </c>
      <c r="U60" s="66"/>
      <c r="V60" s="66"/>
      <c r="W60" s="66">
        <f t="shared" si="32"/>
        <v>0</v>
      </c>
      <c r="X60" s="65"/>
      <c r="Y60" s="65"/>
      <c r="Z60" s="65">
        <f t="shared" si="33"/>
        <v>0</v>
      </c>
      <c r="AA60" s="66"/>
      <c r="AB60" s="66"/>
      <c r="AC60" s="66">
        <f t="shared" si="34"/>
        <v>0</v>
      </c>
      <c r="AD60" s="65"/>
      <c r="AE60" s="65"/>
      <c r="AF60" s="65">
        <f t="shared" si="35"/>
        <v>0</v>
      </c>
      <c r="AG60" s="66"/>
      <c r="AH60" s="66"/>
      <c r="AI60" s="66">
        <f t="shared" si="36"/>
        <v>0</v>
      </c>
      <c r="AJ60" s="65"/>
      <c r="AK60" s="65"/>
      <c r="AL60" s="65">
        <f t="shared" si="37"/>
        <v>0</v>
      </c>
      <c r="AM60" s="66"/>
      <c r="AN60" s="66"/>
      <c r="AO60" s="66">
        <f t="shared" si="38"/>
        <v>0</v>
      </c>
    </row>
    <row r="61" spans="1:41" ht="17.25" x14ac:dyDescent="0.3">
      <c r="A61" s="4" t="s">
        <v>19</v>
      </c>
      <c r="B61" s="16"/>
      <c r="C61" s="17">
        <f>SUM(C59:C60)</f>
        <v>1914000</v>
      </c>
      <c r="D61" s="28"/>
      <c r="F61" s="17">
        <f>SUM(F59:F60)</f>
        <v>1899200</v>
      </c>
      <c r="G61" s="17">
        <f t="shared" ref="G61:AO61" si="39">SUM(G59:G60)</f>
        <v>0</v>
      </c>
      <c r="H61" s="17">
        <f t="shared" si="39"/>
        <v>1899200</v>
      </c>
      <c r="I61" s="17">
        <f t="shared" si="39"/>
        <v>14800</v>
      </c>
      <c r="J61" s="17">
        <f t="shared" si="39"/>
        <v>0</v>
      </c>
      <c r="K61" s="17">
        <f t="shared" si="39"/>
        <v>14800</v>
      </c>
      <c r="L61" s="17">
        <f t="shared" si="39"/>
        <v>0</v>
      </c>
      <c r="M61" s="17">
        <f t="shared" si="39"/>
        <v>0</v>
      </c>
      <c r="N61" s="17">
        <f t="shared" si="39"/>
        <v>0</v>
      </c>
      <c r="O61" s="17">
        <f t="shared" si="39"/>
        <v>0</v>
      </c>
      <c r="P61" s="17">
        <f t="shared" si="39"/>
        <v>0</v>
      </c>
      <c r="Q61" s="17">
        <f t="shared" si="39"/>
        <v>0</v>
      </c>
      <c r="R61" s="17">
        <f t="shared" si="39"/>
        <v>0</v>
      </c>
      <c r="S61" s="17">
        <f t="shared" si="39"/>
        <v>0</v>
      </c>
      <c r="T61" s="17">
        <f t="shared" si="39"/>
        <v>0</v>
      </c>
      <c r="U61" s="17">
        <f t="shared" si="39"/>
        <v>0</v>
      </c>
      <c r="V61" s="17">
        <f t="shared" si="39"/>
        <v>0</v>
      </c>
      <c r="W61" s="17">
        <f t="shared" si="39"/>
        <v>0</v>
      </c>
      <c r="X61" s="17">
        <f t="shared" si="39"/>
        <v>0</v>
      </c>
      <c r="Y61" s="17">
        <f t="shared" si="39"/>
        <v>0</v>
      </c>
      <c r="Z61" s="17">
        <f t="shared" si="39"/>
        <v>0</v>
      </c>
      <c r="AA61" s="17">
        <f t="shared" si="39"/>
        <v>0</v>
      </c>
      <c r="AB61" s="17">
        <f t="shared" si="39"/>
        <v>0</v>
      </c>
      <c r="AC61" s="17">
        <f t="shared" si="39"/>
        <v>0</v>
      </c>
      <c r="AD61" s="17">
        <f t="shared" si="39"/>
        <v>0</v>
      </c>
      <c r="AE61" s="17">
        <f t="shared" si="39"/>
        <v>0</v>
      </c>
      <c r="AF61" s="17">
        <f t="shared" si="39"/>
        <v>0</v>
      </c>
      <c r="AG61" s="17">
        <f t="shared" si="39"/>
        <v>0</v>
      </c>
      <c r="AH61" s="17">
        <f t="shared" si="39"/>
        <v>0</v>
      </c>
      <c r="AI61" s="17">
        <f t="shared" si="39"/>
        <v>0</v>
      </c>
      <c r="AJ61" s="17">
        <f t="shared" si="39"/>
        <v>0</v>
      </c>
      <c r="AK61" s="17">
        <f t="shared" si="39"/>
        <v>0</v>
      </c>
      <c r="AL61" s="17">
        <f t="shared" si="39"/>
        <v>0</v>
      </c>
      <c r="AM61" s="17">
        <f t="shared" si="39"/>
        <v>0</v>
      </c>
      <c r="AN61" s="17">
        <f t="shared" si="39"/>
        <v>0</v>
      </c>
      <c r="AO61" s="17">
        <f t="shared" si="39"/>
        <v>0</v>
      </c>
    </row>
    <row r="62" spans="1:41" ht="17.25" x14ac:dyDescent="0.3">
      <c r="A62" s="4"/>
      <c r="B62" s="16"/>
      <c r="C62" s="19"/>
      <c r="D62" s="28"/>
      <c r="F62" s="65"/>
      <c r="G62" s="65"/>
      <c r="H62" s="65"/>
      <c r="I62" s="66"/>
      <c r="J62" s="66"/>
      <c r="K62" s="66"/>
      <c r="L62" s="65"/>
      <c r="M62" s="65"/>
      <c r="N62" s="65"/>
      <c r="O62" s="66"/>
      <c r="P62" s="66"/>
      <c r="Q62" s="66"/>
      <c r="R62" s="65"/>
      <c r="S62" s="65"/>
      <c r="T62" s="65"/>
      <c r="U62" s="66"/>
      <c r="V62" s="66"/>
      <c r="W62" s="66"/>
      <c r="X62" s="65"/>
      <c r="Y62" s="65"/>
      <c r="Z62" s="65"/>
      <c r="AA62" s="66"/>
      <c r="AB62" s="66"/>
      <c r="AC62" s="66"/>
      <c r="AD62" s="65"/>
      <c r="AE62" s="65"/>
      <c r="AF62" s="65"/>
      <c r="AG62" s="66"/>
      <c r="AH62" s="66"/>
      <c r="AI62" s="66"/>
      <c r="AJ62" s="65"/>
      <c r="AK62" s="65"/>
      <c r="AL62" s="65"/>
      <c r="AM62" s="66"/>
      <c r="AN62" s="66"/>
      <c r="AO62" s="66"/>
    </row>
    <row r="63" spans="1:41" ht="17.25" x14ac:dyDescent="0.3">
      <c r="A63" s="70" t="s">
        <v>71</v>
      </c>
      <c r="B63" s="16"/>
      <c r="C63" s="19"/>
      <c r="D63" s="28"/>
      <c r="F63" s="65"/>
      <c r="G63" s="65"/>
      <c r="H63" s="65"/>
      <c r="I63" s="66"/>
      <c r="J63" s="66"/>
      <c r="K63" s="66"/>
      <c r="L63" s="65"/>
      <c r="M63" s="65"/>
      <c r="N63" s="65"/>
      <c r="O63" s="66"/>
      <c r="P63" s="66"/>
      <c r="Q63" s="66"/>
      <c r="R63" s="65"/>
      <c r="S63" s="65"/>
      <c r="T63" s="65"/>
      <c r="U63" s="66"/>
      <c r="V63" s="66"/>
      <c r="W63" s="66"/>
      <c r="X63" s="65"/>
      <c r="Y63" s="65"/>
      <c r="Z63" s="65"/>
      <c r="AA63" s="66"/>
      <c r="AB63" s="66"/>
      <c r="AC63" s="66"/>
      <c r="AD63" s="65"/>
      <c r="AE63" s="65"/>
      <c r="AF63" s="65"/>
      <c r="AG63" s="66"/>
      <c r="AH63" s="66"/>
      <c r="AI63" s="66"/>
      <c r="AJ63" s="65"/>
      <c r="AK63" s="65"/>
      <c r="AL63" s="65"/>
      <c r="AM63" s="66"/>
      <c r="AN63" s="66"/>
      <c r="AO63" s="66"/>
    </row>
    <row r="64" spans="1:41" ht="17.25" x14ac:dyDescent="0.3">
      <c r="A64" s="68" t="s">
        <v>72</v>
      </c>
      <c r="B64" s="16"/>
      <c r="C64" s="14">
        <f>H64+K64+N64+Q64+T64+W64+Z64+AC64+AF64+AI64+AL64+AO64</f>
        <v>0</v>
      </c>
      <c r="D64" s="28"/>
      <c r="F64" s="65">
        <v>0</v>
      </c>
      <c r="G64" s="65"/>
      <c r="H64" s="65">
        <f t="shared" si="27"/>
        <v>0</v>
      </c>
      <c r="I64" s="66"/>
      <c r="J64" s="66"/>
      <c r="K64" s="66"/>
      <c r="L64" s="65"/>
      <c r="M64" s="65"/>
      <c r="N64" s="65"/>
      <c r="O64" s="66"/>
      <c r="P64" s="66"/>
      <c r="Q64" s="66"/>
      <c r="R64" s="65"/>
      <c r="S64" s="65"/>
      <c r="T64" s="65"/>
      <c r="U64" s="66"/>
      <c r="V64" s="66"/>
      <c r="W64" s="66"/>
      <c r="X64" s="65"/>
      <c r="Y64" s="65"/>
      <c r="Z64" s="65"/>
      <c r="AA64" s="66"/>
      <c r="AB64" s="66"/>
      <c r="AC64" s="66"/>
      <c r="AD64" s="65"/>
      <c r="AE64" s="65"/>
      <c r="AF64" s="65"/>
      <c r="AG64" s="66"/>
      <c r="AH64" s="66"/>
      <c r="AI64" s="66"/>
      <c r="AJ64" s="65"/>
      <c r="AK64" s="65"/>
      <c r="AL64" s="65"/>
      <c r="AM64" s="66"/>
      <c r="AN64" s="66"/>
      <c r="AO64" s="66"/>
    </row>
    <row r="65" spans="1:41" ht="17.25" x14ac:dyDescent="0.3">
      <c r="A65" s="71" t="s">
        <v>73</v>
      </c>
      <c r="B65" s="16"/>
      <c r="C65" s="17">
        <f>SUM(C63:C64)</f>
        <v>0</v>
      </c>
      <c r="D65" s="28"/>
      <c r="F65" s="17">
        <f>SUM(F63:F64)</f>
        <v>0</v>
      </c>
      <c r="G65" s="17">
        <f t="shared" ref="G65:AO65" si="40">SUM(G63:G64)</f>
        <v>0</v>
      </c>
      <c r="H65" s="17">
        <f t="shared" si="40"/>
        <v>0</v>
      </c>
      <c r="I65" s="17">
        <f t="shared" si="40"/>
        <v>0</v>
      </c>
      <c r="J65" s="17">
        <f t="shared" si="40"/>
        <v>0</v>
      </c>
      <c r="K65" s="17">
        <f t="shared" si="40"/>
        <v>0</v>
      </c>
      <c r="L65" s="17">
        <f t="shared" si="40"/>
        <v>0</v>
      </c>
      <c r="M65" s="17">
        <f t="shared" si="40"/>
        <v>0</v>
      </c>
      <c r="N65" s="17">
        <f t="shared" si="40"/>
        <v>0</v>
      </c>
      <c r="O65" s="17">
        <f t="shared" si="40"/>
        <v>0</v>
      </c>
      <c r="P65" s="17">
        <f t="shared" si="40"/>
        <v>0</v>
      </c>
      <c r="Q65" s="17">
        <f t="shared" si="40"/>
        <v>0</v>
      </c>
      <c r="R65" s="17">
        <f t="shared" si="40"/>
        <v>0</v>
      </c>
      <c r="S65" s="17">
        <f t="shared" si="40"/>
        <v>0</v>
      </c>
      <c r="T65" s="17">
        <f t="shared" si="40"/>
        <v>0</v>
      </c>
      <c r="U65" s="17">
        <f t="shared" si="40"/>
        <v>0</v>
      </c>
      <c r="V65" s="17">
        <f t="shared" si="40"/>
        <v>0</v>
      </c>
      <c r="W65" s="17">
        <f t="shared" si="40"/>
        <v>0</v>
      </c>
      <c r="X65" s="17">
        <f t="shared" si="40"/>
        <v>0</v>
      </c>
      <c r="Y65" s="17">
        <f t="shared" si="40"/>
        <v>0</v>
      </c>
      <c r="Z65" s="17">
        <f t="shared" si="40"/>
        <v>0</v>
      </c>
      <c r="AA65" s="17">
        <f t="shared" si="40"/>
        <v>0</v>
      </c>
      <c r="AB65" s="17">
        <f t="shared" si="40"/>
        <v>0</v>
      </c>
      <c r="AC65" s="17">
        <f t="shared" si="40"/>
        <v>0</v>
      </c>
      <c r="AD65" s="17">
        <f t="shared" si="40"/>
        <v>0</v>
      </c>
      <c r="AE65" s="17">
        <f t="shared" si="40"/>
        <v>0</v>
      </c>
      <c r="AF65" s="17">
        <f t="shared" si="40"/>
        <v>0</v>
      </c>
      <c r="AG65" s="17">
        <f t="shared" si="40"/>
        <v>0</v>
      </c>
      <c r="AH65" s="17">
        <f t="shared" si="40"/>
        <v>0</v>
      </c>
      <c r="AI65" s="17">
        <f t="shared" si="40"/>
        <v>0</v>
      </c>
      <c r="AJ65" s="17">
        <f t="shared" si="40"/>
        <v>0</v>
      </c>
      <c r="AK65" s="17">
        <f t="shared" si="40"/>
        <v>0</v>
      </c>
      <c r="AL65" s="17">
        <f t="shared" si="40"/>
        <v>0</v>
      </c>
      <c r="AM65" s="17">
        <f t="shared" si="40"/>
        <v>0</v>
      </c>
      <c r="AN65" s="17">
        <f t="shared" si="40"/>
        <v>0</v>
      </c>
      <c r="AO65" s="17">
        <f t="shared" si="40"/>
        <v>0</v>
      </c>
    </row>
    <row r="66" spans="1:41" ht="18.95" customHeight="1" x14ac:dyDescent="0.3">
      <c r="A66" s="70" t="s">
        <v>68</v>
      </c>
      <c r="B66" s="16"/>
      <c r="C66" s="17">
        <f>C61+C65</f>
        <v>1914000</v>
      </c>
      <c r="D66" s="28"/>
      <c r="F66" s="17">
        <f>F61+F65</f>
        <v>1899200</v>
      </c>
      <c r="G66" s="17">
        <f t="shared" ref="G66:AO66" si="41">G61+G65</f>
        <v>0</v>
      </c>
      <c r="H66" s="17">
        <f t="shared" si="41"/>
        <v>1899200</v>
      </c>
      <c r="I66" s="17">
        <f t="shared" si="41"/>
        <v>14800</v>
      </c>
      <c r="J66" s="17">
        <f t="shared" si="41"/>
        <v>0</v>
      </c>
      <c r="K66" s="17">
        <f t="shared" si="41"/>
        <v>14800</v>
      </c>
      <c r="L66" s="17">
        <f t="shared" si="41"/>
        <v>0</v>
      </c>
      <c r="M66" s="17">
        <f t="shared" si="41"/>
        <v>0</v>
      </c>
      <c r="N66" s="17">
        <f t="shared" si="41"/>
        <v>0</v>
      </c>
      <c r="O66" s="17">
        <f t="shared" si="41"/>
        <v>0</v>
      </c>
      <c r="P66" s="17">
        <f t="shared" si="41"/>
        <v>0</v>
      </c>
      <c r="Q66" s="17">
        <f t="shared" si="41"/>
        <v>0</v>
      </c>
      <c r="R66" s="17">
        <f t="shared" si="41"/>
        <v>0</v>
      </c>
      <c r="S66" s="17">
        <f t="shared" si="41"/>
        <v>0</v>
      </c>
      <c r="T66" s="17">
        <f t="shared" si="41"/>
        <v>0</v>
      </c>
      <c r="U66" s="17">
        <f t="shared" si="41"/>
        <v>0</v>
      </c>
      <c r="V66" s="17">
        <f t="shared" si="41"/>
        <v>0</v>
      </c>
      <c r="W66" s="17">
        <f t="shared" si="41"/>
        <v>0</v>
      </c>
      <c r="X66" s="17">
        <f t="shared" si="41"/>
        <v>0</v>
      </c>
      <c r="Y66" s="17">
        <f t="shared" si="41"/>
        <v>0</v>
      </c>
      <c r="Z66" s="17">
        <f t="shared" si="41"/>
        <v>0</v>
      </c>
      <c r="AA66" s="17">
        <f t="shared" si="41"/>
        <v>0</v>
      </c>
      <c r="AB66" s="17">
        <f t="shared" si="41"/>
        <v>0</v>
      </c>
      <c r="AC66" s="17">
        <f t="shared" si="41"/>
        <v>0</v>
      </c>
      <c r="AD66" s="17">
        <f t="shared" si="41"/>
        <v>0</v>
      </c>
      <c r="AE66" s="17">
        <f t="shared" si="41"/>
        <v>0</v>
      </c>
      <c r="AF66" s="17">
        <f t="shared" si="41"/>
        <v>0</v>
      </c>
      <c r="AG66" s="17">
        <f t="shared" si="41"/>
        <v>0</v>
      </c>
      <c r="AH66" s="17">
        <f t="shared" si="41"/>
        <v>0</v>
      </c>
      <c r="AI66" s="17">
        <f t="shared" si="41"/>
        <v>0</v>
      </c>
      <c r="AJ66" s="17">
        <f t="shared" si="41"/>
        <v>0</v>
      </c>
      <c r="AK66" s="17">
        <f t="shared" si="41"/>
        <v>0</v>
      </c>
      <c r="AL66" s="17">
        <f t="shared" si="41"/>
        <v>0</v>
      </c>
      <c r="AM66" s="17">
        <f t="shared" si="41"/>
        <v>0</v>
      </c>
      <c r="AN66" s="17">
        <f t="shared" si="41"/>
        <v>0</v>
      </c>
      <c r="AO66" s="17">
        <f t="shared" si="41"/>
        <v>0</v>
      </c>
    </row>
    <row r="67" spans="1:41" ht="18.95" customHeight="1" x14ac:dyDescent="0.3">
      <c r="A67" s="15"/>
      <c r="B67" s="16"/>
      <c r="C67" s="28"/>
      <c r="D67" s="28"/>
      <c r="F67" s="65"/>
      <c r="G67" s="65"/>
      <c r="H67" s="65"/>
      <c r="I67" s="66"/>
      <c r="J67" s="66"/>
      <c r="K67" s="66"/>
      <c r="L67" s="65"/>
      <c r="M67" s="65"/>
      <c r="N67" s="65"/>
      <c r="O67" s="66"/>
      <c r="P67" s="66"/>
      <c r="Q67" s="66"/>
      <c r="R67" s="65"/>
      <c r="S67" s="65"/>
      <c r="T67" s="65"/>
      <c r="U67" s="66"/>
      <c r="V67" s="66"/>
      <c r="W67" s="66"/>
      <c r="X67" s="65"/>
      <c r="Y67" s="65"/>
      <c r="Z67" s="65"/>
      <c r="AA67" s="66"/>
      <c r="AB67" s="66"/>
      <c r="AC67" s="66"/>
      <c r="AD67" s="65"/>
      <c r="AE67" s="65"/>
      <c r="AF67" s="65"/>
      <c r="AG67" s="66"/>
      <c r="AH67" s="66"/>
      <c r="AI67" s="66"/>
      <c r="AJ67" s="65"/>
      <c r="AK67" s="65"/>
      <c r="AL67" s="65"/>
      <c r="AM67" s="66"/>
      <c r="AN67" s="66"/>
      <c r="AO67" s="66"/>
    </row>
    <row r="68" spans="1:41" ht="18.95" customHeight="1" x14ac:dyDescent="0.3">
      <c r="A68" s="15"/>
      <c r="B68" s="16"/>
      <c r="C68" s="28"/>
      <c r="D68" s="28"/>
      <c r="F68" s="65"/>
      <c r="G68" s="65"/>
      <c r="H68" s="65"/>
      <c r="I68" s="66"/>
      <c r="J68" s="66"/>
      <c r="K68" s="66"/>
      <c r="L68" s="65"/>
      <c r="M68" s="65"/>
      <c r="N68" s="65"/>
      <c r="O68" s="66"/>
      <c r="P68" s="66"/>
      <c r="Q68" s="66"/>
      <c r="R68" s="65"/>
      <c r="S68" s="65"/>
      <c r="T68" s="65"/>
      <c r="U68" s="66"/>
      <c r="V68" s="66"/>
      <c r="W68" s="66"/>
      <c r="X68" s="65"/>
      <c r="Y68" s="65"/>
      <c r="Z68" s="65"/>
      <c r="AA68" s="66"/>
      <c r="AB68" s="66"/>
      <c r="AC68" s="66"/>
      <c r="AD68" s="65"/>
      <c r="AE68" s="65"/>
      <c r="AF68" s="65"/>
      <c r="AG68" s="66"/>
      <c r="AH68" s="66"/>
      <c r="AI68" s="66"/>
      <c r="AJ68" s="65"/>
      <c r="AK68" s="65"/>
      <c r="AL68" s="65"/>
      <c r="AM68" s="66"/>
      <c r="AN68" s="66"/>
      <c r="AO68" s="66"/>
    </row>
    <row r="69" spans="1:41" ht="17.25" x14ac:dyDescent="0.3">
      <c r="A69" s="70" t="s">
        <v>74</v>
      </c>
      <c r="B69" s="16"/>
      <c r="C69" s="43"/>
      <c r="D69" s="44"/>
      <c r="F69" s="65"/>
      <c r="G69" s="65"/>
      <c r="H69" s="65"/>
      <c r="I69" s="66"/>
      <c r="J69" s="66"/>
      <c r="K69" s="66"/>
      <c r="L69" s="65"/>
      <c r="M69" s="65"/>
      <c r="N69" s="65"/>
      <c r="O69" s="66"/>
      <c r="P69" s="66"/>
      <c r="Q69" s="66"/>
      <c r="R69" s="65"/>
      <c r="S69" s="65"/>
      <c r="T69" s="65"/>
      <c r="U69" s="66"/>
      <c r="V69" s="66"/>
      <c r="W69" s="66"/>
      <c r="X69" s="65"/>
      <c r="Y69" s="65"/>
      <c r="Z69" s="65"/>
      <c r="AA69" s="66"/>
      <c r="AB69" s="66"/>
      <c r="AC69" s="66"/>
      <c r="AD69" s="65"/>
      <c r="AE69" s="65"/>
      <c r="AF69" s="65"/>
      <c r="AG69" s="66"/>
      <c r="AH69" s="66"/>
      <c r="AI69" s="66"/>
      <c r="AJ69" s="65"/>
      <c r="AK69" s="65"/>
      <c r="AL69" s="65"/>
      <c r="AM69" s="66"/>
      <c r="AN69" s="66"/>
      <c r="AO69" s="66"/>
    </row>
    <row r="70" spans="1:41" ht="17.25" x14ac:dyDescent="0.3">
      <c r="A70" s="15" t="s">
        <v>21</v>
      </c>
      <c r="B70" s="16"/>
      <c r="C70" s="14">
        <f t="shared" ref="C70" si="42">H70+K70+N70+Q70+T70+W70+Z70+AC70+AF70+AI70+AL70</f>
        <v>0</v>
      </c>
      <c r="D70" s="45"/>
      <c r="F70" s="65">
        <v>0</v>
      </c>
      <c r="G70" s="65"/>
      <c r="H70" s="65">
        <f t="shared" si="27"/>
        <v>0</v>
      </c>
      <c r="I70" s="66"/>
      <c r="J70" s="66"/>
      <c r="K70" s="66">
        <f t="shared" si="28"/>
        <v>0</v>
      </c>
      <c r="L70" s="65"/>
      <c r="M70" s="65"/>
      <c r="N70" s="65">
        <f t="shared" si="29"/>
        <v>0</v>
      </c>
      <c r="O70" s="66">
        <v>0</v>
      </c>
      <c r="P70" s="66"/>
      <c r="Q70" s="66">
        <f t="shared" si="30"/>
        <v>0</v>
      </c>
      <c r="R70" s="65"/>
      <c r="S70" s="65"/>
      <c r="T70" s="65">
        <f t="shared" si="31"/>
        <v>0</v>
      </c>
      <c r="U70" s="66"/>
      <c r="V70" s="66"/>
      <c r="W70" s="66">
        <f t="shared" si="32"/>
        <v>0</v>
      </c>
      <c r="X70" s="65"/>
      <c r="Y70" s="65"/>
      <c r="Z70" s="65">
        <f t="shared" si="33"/>
        <v>0</v>
      </c>
      <c r="AA70" s="66"/>
      <c r="AB70" s="66"/>
      <c r="AC70" s="66">
        <f t="shared" si="34"/>
        <v>0</v>
      </c>
      <c r="AD70" s="65"/>
      <c r="AE70" s="65"/>
      <c r="AF70" s="65">
        <f t="shared" si="35"/>
        <v>0</v>
      </c>
      <c r="AG70" s="66"/>
      <c r="AH70" s="66"/>
      <c r="AI70" s="66">
        <f t="shared" si="36"/>
        <v>0</v>
      </c>
      <c r="AJ70" s="65"/>
      <c r="AK70" s="65"/>
      <c r="AL70" s="65">
        <f t="shared" si="37"/>
        <v>0</v>
      </c>
      <c r="AM70" s="66"/>
      <c r="AN70" s="66"/>
      <c r="AO70" s="66">
        <f t="shared" ref="AO70:AO73" si="43">AM70+AN70</f>
        <v>0</v>
      </c>
    </row>
    <row r="71" spans="1:41" ht="17.25" x14ac:dyDescent="0.3">
      <c r="A71" s="15" t="s">
        <v>22</v>
      </c>
      <c r="B71" s="16"/>
      <c r="C71" s="14">
        <f>H71+K71+N71+Q71+T71+W71+Z71+AC71+AF71+AI71+AL71+AO71</f>
        <v>158600</v>
      </c>
      <c r="D71" s="24"/>
      <c r="F71" s="65">
        <v>5000</v>
      </c>
      <c r="G71" s="65"/>
      <c r="H71" s="65">
        <f t="shared" si="27"/>
        <v>5000</v>
      </c>
      <c r="I71" s="66">
        <v>45200</v>
      </c>
      <c r="J71" s="66"/>
      <c r="K71" s="66">
        <f t="shared" si="28"/>
        <v>45200</v>
      </c>
      <c r="L71" s="65">
        <v>60750</v>
      </c>
      <c r="M71" s="65"/>
      <c r="N71" s="65">
        <f t="shared" si="29"/>
        <v>60750</v>
      </c>
      <c r="O71" s="66">
        <v>47650</v>
      </c>
      <c r="P71" s="66"/>
      <c r="Q71" s="66">
        <f t="shared" si="30"/>
        <v>47650</v>
      </c>
      <c r="R71" s="65">
        <v>0</v>
      </c>
      <c r="S71" s="65"/>
      <c r="T71" s="65">
        <f t="shared" si="31"/>
        <v>0</v>
      </c>
      <c r="U71" s="66"/>
      <c r="V71" s="66"/>
      <c r="W71" s="66">
        <f t="shared" si="32"/>
        <v>0</v>
      </c>
      <c r="X71" s="65"/>
      <c r="Y71" s="65"/>
      <c r="Z71" s="65">
        <f t="shared" si="33"/>
        <v>0</v>
      </c>
      <c r="AA71" s="66"/>
      <c r="AB71" s="66"/>
      <c r="AC71" s="66">
        <f t="shared" si="34"/>
        <v>0</v>
      </c>
      <c r="AD71" s="65"/>
      <c r="AE71" s="65"/>
      <c r="AF71" s="65">
        <f t="shared" si="35"/>
        <v>0</v>
      </c>
      <c r="AG71" s="66"/>
      <c r="AH71" s="66"/>
      <c r="AI71" s="66">
        <f t="shared" si="36"/>
        <v>0</v>
      </c>
      <c r="AJ71" s="65"/>
      <c r="AK71" s="65"/>
      <c r="AL71" s="65">
        <f t="shared" si="37"/>
        <v>0</v>
      </c>
      <c r="AM71" s="66"/>
      <c r="AN71" s="66"/>
      <c r="AO71" s="66">
        <f t="shared" si="43"/>
        <v>0</v>
      </c>
    </row>
    <row r="72" spans="1:41" ht="17.25" x14ac:dyDescent="0.3">
      <c r="A72" s="15" t="s">
        <v>23</v>
      </c>
      <c r="B72" s="16"/>
      <c r="C72" s="14">
        <f>H72+K72+N72+Q72+T72+W72+Z72+AC72+AF72+AI72+AL72+AO72</f>
        <v>67000</v>
      </c>
      <c r="D72" s="24"/>
      <c r="F72" s="65">
        <v>87308</v>
      </c>
      <c r="G72" s="97">
        <f>-43640-3300-6890-12097-2220-7161</f>
        <v>-75308</v>
      </c>
      <c r="H72" s="65">
        <f t="shared" si="27"/>
        <v>12000</v>
      </c>
      <c r="I72" s="66">
        <v>114298</v>
      </c>
      <c r="J72" s="76">
        <v>-114298</v>
      </c>
      <c r="K72" s="66">
        <f t="shared" si="28"/>
        <v>0</v>
      </c>
      <c r="L72" s="65">
        <v>40000</v>
      </c>
      <c r="M72" s="65"/>
      <c r="N72" s="65">
        <f t="shared" si="29"/>
        <v>40000</v>
      </c>
      <c r="O72" s="66">
        <v>5507</v>
      </c>
      <c r="P72" s="97">
        <v>-5507</v>
      </c>
      <c r="Q72" s="66">
        <f t="shared" si="30"/>
        <v>0</v>
      </c>
      <c r="R72" s="65">
        <v>15000</v>
      </c>
      <c r="S72" s="65"/>
      <c r="T72" s="65">
        <f t="shared" si="31"/>
        <v>15000</v>
      </c>
      <c r="U72" s="66"/>
      <c r="V72" s="66"/>
      <c r="W72" s="66">
        <f t="shared" si="32"/>
        <v>0</v>
      </c>
      <c r="X72" s="65"/>
      <c r="Y72" s="65"/>
      <c r="Z72" s="65">
        <f t="shared" si="33"/>
        <v>0</v>
      </c>
      <c r="AA72" s="66"/>
      <c r="AB72" s="66"/>
      <c r="AC72" s="66">
        <f t="shared" si="34"/>
        <v>0</v>
      </c>
      <c r="AD72" s="65"/>
      <c r="AE72" s="65"/>
      <c r="AF72" s="65">
        <f t="shared" si="35"/>
        <v>0</v>
      </c>
      <c r="AG72" s="66"/>
      <c r="AH72" s="66"/>
      <c r="AI72" s="66">
        <f t="shared" si="36"/>
        <v>0</v>
      </c>
      <c r="AJ72" s="65"/>
      <c r="AK72" s="65"/>
      <c r="AL72" s="65">
        <f t="shared" si="37"/>
        <v>0</v>
      </c>
      <c r="AM72" s="66"/>
      <c r="AN72" s="66"/>
      <c r="AO72" s="66">
        <f t="shared" si="43"/>
        <v>0</v>
      </c>
    </row>
    <row r="73" spans="1:41" ht="17.25" x14ac:dyDescent="0.3">
      <c r="A73" s="15" t="s">
        <v>24</v>
      </c>
      <c r="B73" s="16"/>
      <c r="C73" s="14">
        <f>H73+K73+N73+Q73+T73+W73+Z73+AC73+AF73+AI73+AL73+AO73</f>
        <v>1252171</v>
      </c>
      <c r="D73" s="24"/>
      <c r="F73" s="65">
        <v>18054</v>
      </c>
      <c r="G73" s="65"/>
      <c r="H73" s="65">
        <f t="shared" si="27"/>
        <v>18054</v>
      </c>
      <c r="I73" s="66">
        <v>4047</v>
      </c>
      <c r="J73" s="66"/>
      <c r="K73" s="66">
        <f t="shared" si="28"/>
        <v>4047</v>
      </c>
      <c r="L73" s="65">
        <v>964779</v>
      </c>
      <c r="M73" s="65"/>
      <c r="N73" s="65">
        <f t="shared" si="29"/>
        <v>964779</v>
      </c>
      <c r="O73" s="66">
        <v>119318</v>
      </c>
      <c r="P73" s="66"/>
      <c r="Q73" s="66">
        <f t="shared" si="30"/>
        <v>119318</v>
      </c>
      <c r="R73" s="65">
        <v>46479</v>
      </c>
      <c r="S73" s="65"/>
      <c r="T73" s="65">
        <f t="shared" si="31"/>
        <v>46479</v>
      </c>
      <c r="U73" s="66">
        <v>58850</v>
      </c>
      <c r="V73" s="66"/>
      <c r="W73" s="66">
        <f t="shared" si="32"/>
        <v>58850</v>
      </c>
      <c r="X73" s="65">
        <v>34276</v>
      </c>
      <c r="Y73" s="65"/>
      <c r="Z73" s="65">
        <f t="shared" si="33"/>
        <v>34276</v>
      </c>
      <c r="AA73" s="66">
        <v>2959</v>
      </c>
      <c r="AB73" s="66"/>
      <c r="AC73" s="66">
        <f t="shared" si="34"/>
        <v>2959</v>
      </c>
      <c r="AD73" s="65">
        <v>3031</v>
      </c>
      <c r="AE73" s="65"/>
      <c r="AF73" s="65">
        <f t="shared" si="35"/>
        <v>3031</v>
      </c>
      <c r="AG73" s="66">
        <v>29</v>
      </c>
      <c r="AH73" s="66"/>
      <c r="AI73" s="66">
        <f t="shared" si="36"/>
        <v>29</v>
      </c>
      <c r="AJ73" s="65">
        <v>87</v>
      </c>
      <c r="AK73" s="65"/>
      <c r="AL73" s="65">
        <f t="shared" si="37"/>
        <v>87</v>
      </c>
      <c r="AM73" s="66">
        <v>262</v>
      </c>
      <c r="AN73" s="66"/>
      <c r="AO73" s="66">
        <f t="shared" si="43"/>
        <v>262</v>
      </c>
    </row>
    <row r="74" spans="1:41" ht="18.95" customHeight="1" x14ac:dyDescent="0.3">
      <c r="A74" s="4" t="s">
        <v>25</v>
      </c>
      <c r="B74" s="16"/>
      <c r="C74" s="17">
        <f>SUM(C70:C73)</f>
        <v>1477771</v>
      </c>
      <c r="D74" s="28"/>
      <c r="F74" s="17">
        <f>SUM(F70:F73)</f>
        <v>110362</v>
      </c>
      <c r="G74" s="17">
        <f t="shared" ref="G74:AO74" si="44">SUM(G70:G73)</f>
        <v>-75308</v>
      </c>
      <c r="H74" s="17">
        <f t="shared" si="44"/>
        <v>35054</v>
      </c>
      <c r="I74" s="17">
        <f t="shared" si="44"/>
        <v>163545</v>
      </c>
      <c r="J74" s="17">
        <f t="shared" si="44"/>
        <v>-114298</v>
      </c>
      <c r="K74" s="17">
        <f t="shared" si="44"/>
        <v>49247</v>
      </c>
      <c r="L74" s="17">
        <f t="shared" si="44"/>
        <v>1065529</v>
      </c>
      <c r="M74" s="17">
        <f t="shared" si="44"/>
        <v>0</v>
      </c>
      <c r="N74" s="17">
        <f t="shared" si="44"/>
        <v>1065529</v>
      </c>
      <c r="O74" s="17">
        <f t="shared" si="44"/>
        <v>172475</v>
      </c>
      <c r="P74" s="17">
        <f t="shared" si="44"/>
        <v>-5507</v>
      </c>
      <c r="Q74" s="17">
        <f t="shared" si="44"/>
        <v>166968</v>
      </c>
      <c r="R74" s="17">
        <f t="shared" si="44"/>
        <v>61479</v>
      </c>
      <c r="S74" s="17">
        <f t="shared" si="44"/>
        <v>0</v>
      </c>
      <c r="T74" s="17">
        <f t="shared" si="44"/>
        <v>61479</v>
      </c>
      <c r="U74" s="17">
        <f t="shared" si="44"/>
        <v>58850</v>
      </c>
      <c r="V74" s="17">
        <f t="shared" si="44"/>
        <v>0</v>
      </c>
      <c r="W74" s="17">
        <f t="shared" si="44"/>
        <v>58850</v>
      </c>
      <c r="X74" s="17">
        <f t="shared" si="44"/>
        <v>34276</v>
      </c>
      <c r="Y74" s="17">
        <f t="shared" si="44"/>
        <v>0</v>
      </c>
      <c r="Z74" s="17">
        <f t="shared" si="44"/>
        <v>34276</v>
      </c>
      <c r="AA74" s="17">
        <f t="shared" si="44"/>
        <v>2959</v>
      </c>
      <c r="AB74" s="17">
        <f t="shared" si="44"/>
        <v>0</v>
      </c>
      <c r="AC74" s="17">
        <f t="shared" si="44"/>
        <v>2959</v>
      </c>
      <c r="AD74" s="17">
        <f t="shared" si="44"/>
        <v>3031</v>
      </c>
      <c r="AE74" s="17">
        <f t="shared" si="44"/>
        <v>0</v>
      </c>
      <c r="AF74" s="17">
        <f t="shared" si="44"/>
        <v>3031</v>
      </c>
      <c r="AG74" s="17">
        <f t="shared" si="44"/>
        <v>29</v>
      </c>
      <c r="AH74" s="17">
        <f t="shared" si="44"/>
        <v>0</v>
      </c>
      <c r="AI74" s="17">
        <f t="shared" si="44"/>
        <v>29</v>
      </c>
      <c r="AJ74" s="17">
        <f t="shared" si="44"/>
        <v>87</v>
      </c>
      <c r="AK74" s="17">
        <f t="shared" si="44"/>
        <v>0</v>
      </c>
      <c r="AL74" s="17">
        <f t="shared" si="44"/>
        <v>87</v>
      </c>
      <c r="AM74" s="17">
        <f t="shared" si="44"/>
        <v>262</v>
      </c>
      <c r="AN74" s="17">
        <f t="shared" si="44"/>
        <v>0</v>
      </c>
      <c r="AO74" s="17">
        <f t="shared" si="44"/>
        <v>262</v>
      </c>
    </row>
    <row r="75" spans="1:41" ht="18.95" customHeight="1" thickBot="1" x14ac:dyDescent="0.35">
      <c r="A75" s="70" t="s">
        <v>69</v>
      </c>
      <c r="B75" s="16"/>
      <c r="C75" s="17">
        <f>C66+C74</f>
        <v>3391771</v>
      </c>
      <c r="D75" s="28"/>
      <c r="F75" s="17">
        <f>F66+F74</f>
        <v>2009562</v>
      </c>
      <c r="G75" s="17">
        <f t="shared" ref="G75:AO75" si="45">G66+G74</f>
        <v>-75308</v>
      </c>
      <c r="H75" s="17">
        <f t="shared" si="45"/>
        <v>1934254</v>
      </c>
      <c r="I75" s="17">
        <f t="shared" si="45"/>
        <v>178345</v>
      </c>
      <c r="J75" s="17">
        <f t="shared" si="45"/>
        <v>-114298</v>
      </c>
      <c r="K75" s="17">
        <f t="shared" si="45"/>
        <v>64047</v>
      </c>
      <c r="L75" s="17">
        <f t="shared" si="45"/>
        <v>1065529</v>
      </c>
      <c r="M75" s="17">
        <f t="shared" si="45"/>
        <v>0</v>
      </c>
      <c r="N75" s="17">
        <f t="shared" si="45"/>
        <v>1065529</v>
      </c>
      <c r="O75" s="17">
        <f t="shared" si="45"/>
        <v>172475</v>
      </c>
      <c r="P75" s="17">
        <f t="shared" si="45"/>
        <v>-5507</v>
      </c>
      <c r="Q75" s="17">
        <f t="shared" si="45"/>
        <v>166968</v>
      </c>
      <c r="R75" s="17">
        <f t="shared" si="45"/>
        <v>61479</v>
      </c>
      <c r="S75" s="17">
        <f t="shared" si="45"/>
        <v>0</v>
      </c>
      <c r="T75" s="17">
        <f t="shared" si="45"/>
        <v>61479</v>
      </c>
      <c r="U75" s="17">
        <f t="shared" si="45"/>
        <v>58850</v>
      </c>
      <c r="V75" s="17">
        <f t="shared" si="45"/>
        <v>0</v>
      </c>
      <c r="W75" s="17">
        <f t="shared" si="45"/>
        <v>58850</v>
      </c>
      <c r="X75" s="17">
        <f t="shared" si="45"/>
        <v>34276</v>
      </c>
      <c r="Y75" s="17">
        <f t="shared" si="45"/>
        <v>0</v>
      </c>
      <c r="Z75" s="17">
        <f t="shared" si="45"/>
        <v>34276</v>
      </c>
      <c r="AA75" s="17">
        <f t="shared" si="45"/>
        <v>2959</v>
      </c>
      <c r="AB75" s="17">
        <f t="shared" si="45"/>
        <v>0</v>
      </c>
      <c r="AC75" s="17">
        <f t="shared" si="45"/>
        <v>2959</v>
      </c>
      <c r="AD75" s="17">
        <f t="shared" si="45"/>
        <v>3031</v>
      </c>
      <c r="AE75" s="17">
        <f t="shared" si="45"/>
        <v>0</v>
      </c>
      <c r="AF75" s="17">
        <f t="shared" si="45"/>
        <v>3031</v>
      </c>
      <c r="AG75" s="17">
        <f t="shared" si="45"/>
        <v>29</v>
      </c>
      <c r="AH75" s="17">
        <f t="shared" si="45"/>
        <v>0</v>
      </c>
      <c r="AI75" s="17">
        <f t="shared" si="45"/>
        <v>29</v>
      </c>
      <c r="AJ75" s="17">
        <f t="shared" si="45"/>
        <v>87</v>
      </c>
      <c r="AK75" s="17">
        <f t="shared" si="45"/>
        <v>0</v>
      </c>
      <c r="AL75" s="17">
        <f t="shared" si="45"/>
        <v>87</v>
      </c>
      <c r="AM75" s="17">
        <f t="shared" si="45"/>
        <v>262</v>
      </c>
      <c r="AN75" s="17">
        <f t="shared" si="45"/>
        <v>0</v>
      </c>
      <c r="AO75" s="17">
        <f t="shared" si="45"/>
        <v>262</v>
      </c>
    </row>
    <row r="76" spans="1:41" ht="18" thickTop="1" x14ac:dyDescent="0.3">
      <c r="A76" s="15" t="s">
        <v>1</v>
      </c>
      <c r="B76" s="16"/>
      <c r="C76" s="46"/>
      <c r="D76" s="24"/>
      <c r="F76" s="65"/>
      <c r="G76" s="65"/>
      <c r="H76" s="65"/>
      <c r="I76" s="66"/>
      <c r="J76" s="66"/>
      <c r="K76" s="66"/>
      <c r="L76" s="65"/>
      <c r="M76" s="65"/>
      <c r="N76" s="65"/>
      <c r="O76" s="66"/>
      <c r="P76" s="66"/>
      <c r="Q76" s="66"/>
      <c r="R76" s="65"/>
      <c r="S76" s="65"/>
      <c r="T76" s="65"/>
      <c r="U76" s="66"/>
      <c r="V76" s="66"/>
      <c r="W76" s="66"/>
      <c r="X76" s="65"/>
      <c r="Y76" s="65"/>
      <c r="Z76" s="65"/>
      <c r="AA76" s="66"/>
      <c r="AB76" s="66"/>
      <c r="AC76" s="66"/>
      <c r="AD76" s="65"/>
      <c r="AE76" s="65"/>
      <c r="AF76" s="65"/>
      <c r="AG76" s="66"/>
      <c r="AH76" s="66"/>
      <c r="AI76" s="66"/>
      <c r="AJ76" s="65"/>
      <c r="AK76" s="65"/>
      <c r="AL76" s="65"/>
      <c r="AM76" s="66"/>
      <c r="AN76" s="66"/>
      <c r="AO76" s="66"/>
    </row>
    <row r="77" spans="1:41" ht="17.25" x14ac:dyDescent="0.3">
      <c r="A77" s="4" t="s">
        <v>26</v>
      </c>
      <c r="B77" s="16"/>
      <c r="C77" s="19"/>
      <c r="D77" s="24"/>
      <c r="F77" s="65"/>
      <c r="G77" s="65"/>
      <c r="H77" s="65"/>
      <c r="I77" s="66"/>
      <c r="J77" s="66"/>
      <c r="K77" s="66"/>
      <c r="L77" s="65"/>
      <c r="M77" s="65"/>
      <c r="N77" s="65"/>
      <c r="O77" s="66"/>
      <c r="P77" s="66"/>
      <c r="Q77" s="66"/>
      <c r="R77" s="65"/>
      <c r="S77" s="65"/>
      <c r="T77" s="65"/>
      <c r="U77" s="66"/>
      <c r="V77" s="66"/>
      <c r="W77" s="66"/>
      <c r="X77" s="65"/>
      <c r="Y77" s="65"/>
      <c r="Z77" s="65"/>
      <c r="AA77" s="66"/>
      <c r="AB77" s="66"/>
      <c r="AC77" s="66"/>
      <c r="AD77" s="65"/>
      <c r="AE77" s="65"/>
      <c r="AF77" s="65"/>
      <c r="AG77" s="66"/>
      <c r="AH77" s="66"/>
      <c r="AI77" s="66"/>
      <c r="AJ77" s="65"/>
      <c r="AK77" s="65"/>
      <c r="AL77" s="65"/>
      <c r="AM77" s="66"/>
      <c r="AN77" s="66"/>
      <c r="AO77" s="66"/>
    </row>
    <row r="78" spans="1:41" ht="6.95" customHeight="1" x14ac:dyDescent="0.3">
      <c r="A78" s="4"/>
      <c r="B78" s="16"/>
      <c r="C78" s="19"/>
      <c r="D78" s="24"/>
      <c r="F78" s="65"/>
      <c r="G78" s="65"/>
      <c r="H78" s="65"/>
      <c r="I78" s="66"/>
      <c r="J78" s="66"/>
      <c r="K78" s="66"/>
      <c r="L78" s="65"/>
      <c r="M78" s="65"/>
      <c r="N78" s="65"/>
      <c r="O78" s="66"/>
      <c r="P78" s="66"/>
      <c r="Q78" s="66"/>
      <c r="R78" s="65"/>
      <c r="S78" s="65"/>
      <c r="T78" s="65"/>
      <c r="U78" s="66"/>
      <c r="V78" s="66"/>
      <c r="W78" s="66"/>
      <c r="X78" s="65"/>
      <c r="Y78" s="65"/>
      <c r="Z78" s="65"/>
      <c r="AA78" s="66"/>
      <c r="AB78" s="66"/>
      <c r="AC78" s="66"/>
      <c r="AD78" s="65"/>
      <c r="AE78" s="65"/>
      <c r="AF78" s="65"/>
      <c r="AG78" s="66"/>
      <c r="AH78" s="66"/>
      <c r="AI78" s="66"/>
      <c r="AJ78" s="65"/>
      <c r="AK78" s="65"/>
      <c r="AL78" s="65"/>
      <c r="AM78" s="66"/>
      <c r="AN78" s="66"/>
      <c r="AO78" s="66"/>
    </row>
    <row r="79" spans="1:41" ht="17.25" x14ac:dyDescent="0.3">
      <c r="A79" s="4" t="s">
        <v>27</v>
      </c>
      <c r="B79" s="25"/>
      <c r="C79" s="47"/>
      <c r="D79" s="48"/>
      <c r="F79" s="65"/>
      <c r="G79" s="65"/>
      <c r="H79" s="65"/>
      <c r="I79" s="66"/>
      <c r="J79" s="66"/>
      <c r="K79" s="66"/>
      <c r="L79" s="65"/>
      <c r="M79" s="65"/>
      <c r="N79" s="65"/>
      <c r="O79" s="66"/>
      <c r="P79" s="66"/>
      <c r="Q79" s="66"/>
      <c r="R79" s="65"/>
      <c r="S79" s="65"/>
      <c r="T79" s="65"/>
      <c r="U79" s="66"/>
      <c r="V79" s="66"/>
      <c r="W79" s="66"/>
      <c r="X79" s="65"/>
      <c r="Y79" s="65"/>
      <c r="Z79" s="65"/>
      <c r="AA79" s="66"/>
      <c r="AB79" s="66"/>
      <c r="AC79" s="66"/>
      <c r="AD79" s="65"/>
      <c r="AE79" s="65"/>
      <c r="AF79" s="65"/>
      <c r="AG79" s="66"/>
      <c r="AH79" s="66"/>
      <c r="AI79" s="66"/>
      <c r="AJ79" s="65"/>
      <c r="AK79" s="65"/>
      <c r="AL79" s="65"/>
      <c r="AM79" s="66"/>
      <c r="AN79" s="66"/>
      <c r="AO79" s="66"/>
    </row>
    <row r="80" spans="1:41" ht="17.25" hidden="1" x14ac:dyDescent="0.3">
      <c r="A80" s="4" t="s">
        <v>28</v>
      </c>
      <c r="B80" s="16"/>
      <c r="C80" s="19"/>
      <c r="D80" s="24"/>
      <c r="F80" s="65"/>
      <c r="G80" s="65"/>
      <c r="H80" s="65"/>
      <c r="I80" s="66"/>
      <c r="J80" s="66"/>
      <c r="K80" s="66"/>
      <c r="L80" s="65"/>
      <c r="M80" s="65"/>
      <c r="N80" s="65"/>
      <c r="O80" s="66"/>
      <c r="P80" s="66"/>
      <c r="Q80" s="66"/>
      <c r="R80" s="65"/>
      <c r="S80" s="65"/>
      <c r="T80" s="65"/>
      <c r="U80" s="66"/>
      <c r="V80" s="66"/>
      <c r="W80" s="66"/>
      <c r="X80" s="65"/>
      <c r="Y80" s="65"/>
      <c r="Z80" s="65"/>
      <c r="AA80" s="66"/>
      <c r="AB80" s="66"/>
      <c r="AC80" s="66"/>
      <c r="AD80" s="65"/>
      <c r="AE80" s="65"/>
      <c r="AF80" s="65"/>
      <c r="AG80" s="66"/>
      <c r="AH80" s="66"/>
      <c r="AI80" s="66"/>
      <c r="AJ80" s="65"/>
      <c r="AK80" s="65"/>
      <c r="AL80" s="65"/>
      <c r="AM80" s="66"/>
      <c r="AN80" s="66"/>
      <c r="AO80" s="66"/>
    </row>
    <row r="81" spans="1:41" ht="17.25" hidden="1" x14ac:dyDescent="0.3">
      <c r="A81" s="15" t="s">
        <v>29</v>
      </c>
      <c r="B81" s="16"/>
      <c r="C81" s="19">
        <v>0</v>
      </c>
      <c r="D81" s="24"/>
      <c r="F81" s="65"/>
      <c r="G81" s="65"/>
      <c r="H81" s="65"/>
      <c r="I81" s="66"/>
      <c r="J81" s="66"/>
      <c r="K81" s="66"/>
      <c r="L81" s="65"/>
      <c r="M81" s="65"/>
      <c r="N81" s="65"/>
      <c r="O81" s="66"/>
      <c r="P81" s="66"/>
      <c r="Q81" s="66"/>
      <c r="R81" s="65"/>
      <c r="S81" s="65"/>
      <c r="T81" s="65"/>
      <c r="U81" s="66"/>
      <c r="V81" s="66"/>
      <c r="W81" s="66"/>
      <c r="X81" s="65"/>
      <c r="Y81" s="65"/>
      <c r="Z81" s="65"/>
      <c r="AA81" s="66"/>
      <c r="AB81" s="66"/>
      <c r="AC81" s="66"/>
      <c r="AD81" s="65"/>
      <c r="AE81" s="65"/>
      <c r="AF81" s="65"/>
      <c r="AG81" s="66"/>
      <c r="AH81" s="66"/>
      <c r="AI81" s="66"/>
      <c r="AJ81" s="65"/>
      <c r="AK81" s="65"/>
      <c r="AL81" s="65"/>
      <c r="AM81" s="66"/>
      <c r="AN81" s="66"/>
      <c r="AO81" s="66"/>
    </row>
    <row r="82" spans="1:41" ht="17.25" hidden="1" x14ac:dyDescent="0.3">
      <c r="A82" s="4" t="s">
        <v>30</v>
      </c>
      <c r="B82" s="16"/>
      <c r="C82" s="18">
        <f>C81</f>
        <v>0</v>
      </c>
      <c r="D82" s="24"/>
      <c r="F82" s="65"/>
      <c r="G82" s="65"/>
      <c r="H82" s="65"/>
      <c r="I82" s="66"/>
      <c r="J82" s="66"/>
      <c r="K82" s="66"/>
      <c r="L82" s="65"/>
      <c r="M82" s="65"/>
      <c r="N82" s="65"/>
      <c r="O82" s="66"/>
      <c r="P82" s="66"/>
      <c r="Q82" s="66"/>
      <c r="R82" s="65"/>
      <c r="S82" s="65"/>
      <c r="T82" s="65"/>
      <c r="U82" s="66"/>
      <c r="V82" s="66"/>
      <c r="W82" s="66"/>
      <c r="X82" s="65"/>
      <c r="Y82" s="65"/>
      <c r="Z82" s="65"/>
      <c r="AA82" s="66"/>
      <c r="AB82" s="66"/>
      <c r="AC82" s="66"/>
      <c r="AD82" s="65"/>
      <c r="AE82" s="65"/>
      <c r="AF82" s="65"/>
      <c r="AG82" s="66"/>
      <c r="AH82" s="66"/>
      <c r="AI82" s="66"/>
      <c r="AJ82" s="65"/>
      <c r="AK82" s="65"/>
      <c r="AL82" s="65"/>
      <c r="AM82" s="66"/>
      <c r="AN82" s="66"/>
      <c r="AO82" s="66"/>
    </row>
    <row r="83" spans="1:41" ht="9.9499999999999993" customHeight="1" x14ac:dyDescent="0.3">
      <c r="A83" s="15"/>
      <c r="B83" s="16"/>
      <c r="C83" s="19"/>
      <c r="D83" s="24"/>
      <c r="F83" s="65"/>
      <c r="G83" s="65"/>
      <c r="H83" s="65"/>
      <c r="I83" s="66"/>
      <c r="J83" s="66"/>
      <c r="K83" s="66"/>
      <c r="L83" s="65"/>
      <c r="M83" s="65"/>
      <c r="N83" s="65"/>
      <c r="O83" s="66"/>
      <c r="P83" s="66"/>
      <c r="Q83" s="66"/>
      <c r="R83" s="65"/>
      <c r="S83" s="65"/>
      <c r="T83" s="65"/>
      <c r="U83" s="66"/>
      <c r="V83" s="66"/>
      <c r="W83" s="66"/>
      <c r="X83" s="65"/>
      <c r="Y83" s="65"/>
      <c r="Z83" s="65"/>
      <c r="AA83" s="66"/>
      <c r="AB83" s="66"/>
      <c r="AC83" s="66"/>
      <c r="AD83" s="65"/>
      <c r="AE83" s="65"/>
      <c r="AF83" s="65"/>
      <c r="AG83" s="66"/>
      <c r="AH83" s="66"/>
      <c r="AI83" s="66"/>
      <c r="AJ83" s="65"/>
      <c r="AK83" s="65"/>
      <c r="AL83" s="65"/>
      <c r="AM83" s="66"/>
      <c r="AN83" s="66"/>
      <c r="AO83" s="66"/>
    </row>
    <row r="84" spans="1:41" ht="17.25" x14ac:dyDescent="0.3">
      <c r="A84" s="15" t="s">
        <v>31</v>
      </c>
      <c r="B84" s="16"/>
      <c r="C84" s="14">
        <f>H84+K84+N84+Q84+T84+W84+Z84+AC84+AF84+AI84+AL84+AO84</f>
        <v>1034558</v>
      </c>
      <c r="D84" s="24"/>
      <c r="F84" s="65">
        <v>207990</v>
      </c>
      <c r="G84" s="65"/>
      <c r="H84" s="65">
        <f t="shared" si="27"/>
        <v>207990</v>
      </c>
      <c r="I84" s="66">
        <v>-111428</v>
      </c>
      <c r="J84" s="66"/>
      <c r="K84" s="66">
        <f t="shared" si="28"/>
        <v>-111428</v>
      </c>
      <c r="L84" s="65">
        <v>864181</v>
      </c>
      <c r="M84" s="65"/>
      <c r="N84" s="65">
        <f t="shared" si="29"/>
        <v>864181</v>
      </c>
      <c r="O84" s="66">
        <v>-34098</v>
      </c>
      <c r="P84" s="66"/>
      <c r="Q84" s="66">
        <f t="shared" si="30"/>
        <v>-34098</v>
      </c>
      <c r="R84" s="65">
        <v>35046</v>
      </c>
      <c r="S84" s="65"/>
      <c r="T84" s="65">
        <f t="shared" si="31"/>
        <v>35046</v>
      </c>
      <c r="U84" s="66">
        <v>51960</v>
      </c>
      <c r="V84" s="66"/>
      <c r="W84" s="66">
        <f t="shared" si="32"/>
        <v>51960</v>
      </c>
      <c r="X84" s="65">
        <v>31196</v>
      </c>
      <c r="Y84" s="65"/>
      <c r="Z84" s="65">
        <f t="shared" si="33"/>
        <v>31196</v>
      </c>
      <c r="AA84" s="66">
        <v>2959</v>
      </c>
      <c r="AB84" s="66"/>
      <c r="AC84" s="66">
        <f t="shared" si="34"/>
        <v>2959</v>
      </c>
      <c r="AD84" s="65">
        <f>3707-676</f>
        <v>3031</v>
      </c>
      <c r="AE84" s="65"/>
      <c r="AF84" s="65">
        <f t="shared" si="35"/>
        <v>3031</v>
      </c>
      <c r="AG84" s="66">
        <v>29</v>
      </c>
      <c r="AH84" s="66"/>
      <c r="AI84" s="66">
        <f t="shared" si="36"/>
        <v>29</v>
      </c>
      <c r="AJ84" s="65">
        <v>-16570</v>
      </c>
      <c r="AK84" s="65"/>
      <c r="AL84" s="65">
        <f t="shared" si="37"/>
        <v>-16570</v>
      </c>
      <c r="AM84" s="66">
        <v>262</v>
      </c>
      <c r="AN84" s="66"/>
      <c r="AO84" s="66">
        <f t="shared" ref="AO84" si="46">AM84+AN84</f>
        <v>262</v>
      </c>
    </row>
    <row r="85" spans="1:41" ht="18.95" customHeight="1" x14ac:dyDescent="0.3">
      <c r="A85" s="4" t="s">
        <v>32</v>
      </c>
      <c r="B85" s="16"/>
      <c r="C85" s="17">
        <f>C84</f>
        <v>1034558</v>
      </c>
      <c r="D85" s="28"/>
      <c r="F85" s="17">
        <f>F84</f>
        <v>207990</v>
      </c>
      <c r="G85" s="17">
        <f t="shared" ref="G85:AO85" si="47">G84</f>
        <v>0</v>
      </c>
      <c r="H85" s="17">
        <f t="shared" si="47"/>
        <v>207990</v>
      </c>
      <c r="I85" s="17">
        <f t="shared" si="47"/>
        <v>-111428</v>
      </c>
      <c r="J85" s="17">
        <f t="shared" si="47"/>
        <v>0</v>
      </c>
      <c r="K85" s="17">
        <f t="shared" si="47"/>
        <v>-111428</v>
      </c>
      <c r="L85" s="17">
        <f t="shared" si="47"/>
        <v>864181</v>
      </c>
      <c r="M85" s="17">
        <f t="shared" si="47"/>
        <v>0</v>
      </c>
      <c r="N85" s="17">
        <f t="shared" si="47"/>
        <v>864181</v>
      </c>
      <c r="O85" s="17">
        <f t="shared" si="47"/>
        <v>-34098</v>
      </c>
      <c r="P85" s="17">
        <f t="shared" si="47"/>
        <v>0</v>
      </c>
      <c r="Q85" s="17">
        <f t="shared" si="47"/>
        <v>-34098</v>
      </c>
      <c r="R85" s="17">
        <f t="shared" si="47"/>
        <v>35046</v>
      </c>
      <c r="S85" s="17">
        <f t="shared" si="47"/>
        <v>0</v>
      </c>
      <c r="T85" s="17">
        <f t="shared" si="47"/>
        <v>35046</v>
      </c>
      <c r="U85" s="17">
        <f t="shared" si="47"/>
        <v>51960</v>
      </c>
      <c r="V85" s="17">
        <f t="shared" si="47"/>
        <v>0</v>
      </c>
      <c r="W85" s="17">
        <f t="shared" si="47"/>
        <v>51960</v>
      </c>
      <c r="X85" s="17">
        <f t="shared" si="47"/>
        <v>31196</v>
      </c>
      <c r="Y85" s="17">
        <f t="shared" si="47"/>
        <v>0</v>
      </c>
      <c r="Z85" s="17">
        <f t="shared" si="47"/>
        <v>31196</v>
      </c>
      <c r="AA85" s="17">
        <f t="shared" si="47"/>
        <v>2959</v>
      </c>
      <c r="AB85" s="17">
        <f t="shared" si="47"/>
        <v>0</v>
      </c>
      <c r="AC85" s="17">
        <f t="shared" si="47"/>
        <v>2959</v>
      </c>
      <c r="AD85" s="17">
        <f t="shared" si="47"/>
        <v>3031</v>
      </c>
      <c r="AE85" s="17">
        <f t="shared" si="47"/>
        <v>0</v>
      </c>
      <c r="AF85" s="17">
        <f t="shared" si="47"/>
        <v>3031</v>
      </c>
      <c r="AG85" s="17">
        <f t="shared" si="47"/>
        <v>29</v>
      </c>
      <c r="AH85" s="17">
        <f t="shared" si="47"/>
        <v>0</v>
      </c>
      <c r="AI85" s="17">
        <f t="shared" si="47"/>
        <v>29</v>
      </c>
      <c r="AJ85" s="17">
        <f t="shared" si="47"/>
        <v>-16570</v>
      </c>
      <c r="AK85" s="17">
        <f t="shared" si="47"/>
        <v>0</v>
      </c>
      <c r="AL85" s="17">
        <f t="shared" si="47"/>
        <v>-16570</v>
      </c>
      <c r="AM85" s="17">
        <f t="shared" si="47"/>
        <v>262</v>
      </c>
      <c r="AN85" s="17">
        <f t="shared" si="47"/>
        <v>0</v>
      </c>
      <c r="AO85" s="17">
        <f t="shared" si="47"/>
        <v>262</v>
      </c>
    </row>
    <row r="86" spans="1:41" ht="9.9499999999999993" customHeight="1" x14ac:dyDescent="0.3">
      <c r="A86" s="4"/>
      <c r="B86" s="16"/>
      <c r="C86" s="17"/>
      <c r="D86" s="28"/>
      <c r="F86" s="65"/>
      <c r="G86" s="65"/>
      <c r="H86" s="65"/>
      <c r="I86" s="66"/>
      <c r="J86" s="66"/>
      <c r="K86" s="66"/>
      <c r="L86" s="65"/>
      <c r="M86" s="65"/>
      <c r="N86" s="65"/>
      <c r="O86" s="66"/>
      <c r="P86" s="66"/>
      <c r="Q86" s="66"/>
      <c r="R86" s="65"/>
      <c r="S86" s="65"/>
      <c r="T86" s="65"/>
      <c r="U86" s="66"/>
      <c r="V86" s="66"/>
      <c r="W86" s="66"/>
      <c r="X86" s="65"/>
      <c r="Y86" s="65"/>
      <c r="Z86" s="65"/>
      <c r="AA86" s="66"/>
      <c r="AB86" s="66"/>
      <c r="AC86" s="66"/>
      <c r="AD86" s="65"/>
      <c r="AE86" s="65"/>
      <c r="AF86" s="65"/>
      <c r="AG86" s="66"/>
      <c r="AH86" s="66"/>
      <c r="AI86" s="66"/>
      <c r="AJ86" s="65"/>
      <c r="AK86" s="65"/>
      <c r="AL86" s="65"/>
      <c r="AM86" s="66"/>
      <c r="AN86" s="66"/>
      <c r="AO86" s="66"/>
    </row>
    <row r="87" spans="1:41" ht="17.25" x14ac:dyDescent="0.3">
      <c r="A87" s="4" t="s">
        <v>33</v>
      </c>
      <c r="B87" s="16"/>
      <c r="C87" s="28"/>
      <c r="D87" s="28"/>
      <c r="F87" s="65"/>
      <c r="G87" s="65"/>
      <c r="H87" s="65">
        <f t="shared" si="27"/>
        <v>0</v>
      </c>
      <c r="I87" s="66"/>
      <c r="J87" s="66"/>
      <c r="K87" s="66">
        <f t="shared" si="28"/>
        <v>0</v>
      </c>
      <c r="L87" s="65"/>
      <c r="M87" s="65"/>
      <c r="N87" s="65">
        <f t="shared" si="29"/>
        <v>0</v>
      </c>
      <c r="O87" s="66"/>
      <c r="P87" s="66"/>
      <c r="Q87" s="66">
        <f t="shared" si="30"/>
        <v>0</v>
      </c>
      <c r="R87" s="65"/>
      <c r="S87" s="65"/>
      <c r="T87" s="65">
        <f t="shared" si="31"/>
        <v>0</v>
      </c>
      <c r="U87" s="66"/>
      <c r="V87" s="66"/>
      <c r="W87" s="66">
        <f t="shared" si="32"/>
        <v>0</v>
      </c>
      <c r="X87" s="65"/>
      <c r="Y87" s="65"/>
      <c r="Z87" s="65">
        <f t="shared" si="33"/>
        <v>0</v>
      </c>
      <c r="AA87" s="66"/>
      <c r="AB87" s="66"/>
      <c r="AC87" s="66">
        <f t="shared" si="34"/>
        <v>0</v>
      </c>
      <c r="AD87" s="65"/>
      <c r="AE87" s="65"/>
      <c r="AF87" s="65">
        <f t="shared" si="35"/>
        <v>0</v>
      </c>
      <c r="AG87" s="66"/>
      <c r="AH87" s="66"/>
      <c r="AI87" s="66">
        <f t="shared" si="36"/>
        <v>0</v>
      </c>
      <c r="AJ87" s="65"/>
      <c r="AK87" s="65"/>
      <c r="AL87" s="65">
        <f t="shared" si="37"/>
        <v>0</v>
      </c>
      <c r="AM87" s="66"/>
      <c r="AN87" s="66"/>
      <c r="AO87" s="66">
        <f t="shared" ref="AO87:AO89" si="48">AM87+AN87</f>
        <v>0</v>
      </c>
    </row>
    <row r="88" spans="1:41" ht="17.25" x14ac:dyDescent="0.3">
      <c r="A88" s="70" t="s">
        <v>78</v>
      </c>
      <c r="B88" s="16"/>
      <c r="C88" s="21"/>
      <c r="D88" s="28"/>
      <c r="F88" s="65"/>
      <c r="G88" s="65"/>
      <c r="H88" s="65">
        <f t="shared" si="27"/>
        <v>0</v>
      </c>
      <c r="I88" s="66"/>
      <c r="J88" s="66"/>
      <c r="K88" s="66">
        <f t="shared" si="28"/>
        <v>0</v>
      </c>
      <c r="L88" s="65"/>
      <c r="M88" s="65"/>
      <c r="N88" s="65">
        <f t="shared" si="29"/>
        <v>0</v>
      </c>
      <c r="O88" s="66"/>
      <c r="P88" s="66"/>
      <c r="Q88" s="66">
        <f t="shared" si="30"/>
        <v>0</v>
      </c>
      <c r="R88" s="65"/>
      <c r="S88" s="65"/>
      <c r="T88" s="65">
        <f t="shared" si="31"/>
        <v>0</v>
      </c>
      <c r="U88" s="66"/>
      <c r="V88" s="66"/>
      <c r="W88" s="66">
        <f t="shared" si="32"/>
        <v>0</v>
      </c>
      <c r="X88" s="65"/>
      <c r="Y88" s="65"/>
      <c r="Z88" s="65">
        <f t="shared" si="33"/>
        <v>0</v>
      </c>
      <c r="AA88" s="66"/>
      <c r="AB88" s="66"/>
      <c r="AC88" s="66">
        <f t="shared" si="34"/>
        <v>0</v>
      </c>
      <c r="AD88" s="65"/>
      <c r="AE88" s="65"/>
      <c r="AF88" s="65">
        <f t="shared" si="35"/>
        <v>0</v>
      </c>
      <c r="AG88" s="66"/>
      <c r="AH88" s="66"/>
      <c r="AI88" s="66">
        <f t="shared" si="36"/>
        <v>0</v>
      </c>
      <c r="AJ88" s="65"/>
      <c r="AK88" s="65"/>
      <c r="AL88" s="65">
        <f t="shared" si="37"/>
        <v>0</v>
      </c>
      <c r="AM88" s="66"/>
      <c r="AN88" s="66"/>
      <c r="AO88" s="66">
        <f t="shared" si="48"/>
        <v>0</v>
      </c>
    </row>
    <row r="89" spans="1:41" ht="17.25" x14ac:dyDescent="0.3">
      <c r="A89" s="15" t="s">
        <v>34</v>
      </c>
      <c r="B89" s="16"/>
      <c r="C89" s="14">
        <f>H89+K89+N89+Q89+T89+W89+Z89+AC89+AF89+AI89+AL89+AO89</f>
        <v>1363781</v>
      </c>
      <c r="D89" s="28"/>
      <c r="F89" s="65">
        <v>1363781</v>
      </c>
      <c r="G89" s="65"/>
      <c r="H89" s="65">
        <f t="shared" si="27"/>
        <v>1363781</v>
      </c>
      <c r="I89" s="66"/>
      <c r="J89" s="66"/>
      <c r="K89" s="66">
        <f t="shared" si="28"/>
        <v>0</v>
      </c>
      <c r="L89" s="65"/>
      <c r="M89" s="65"/>
      <c r="N89" s="65">
        <f t="shared" si="29"/>
        <v>0</v>
      </c>
      <c r="O89" s="66"/>
      <c r="P89" s="66"/>
      <c r="Q89" s="66">
        <f t="shared" si="30"/>
        <v>0</v>
      </c>
      <c r="R89" s="65"/>
      <c r="S89" s="65"/>
      <c r="T89" s="65">
        <f t="shared" si="31"/>
        <v>0</v>
      </c>
      <c r="U89" s="66"/>
      <c r="V89" s="66"/>
      <c r="W89" s="66">
        <f t="shared" si="32"/>
        <v>0</v>
      </c>
      <c r="X89" s="65"/>
      <c r="Y89" s="65"/>
      <c r="Z89" s="65">
        <f t="shared" si="33"/>
        <v>0</v>
      </c>
      <c r="AA89" s="66"/>
      <c r="AB89" s="66"/>
      <c r="AC89" s="66">
        <f t="shared" si="34"/>
        <v>0</v>
      </c>
      <c r="AD89" s="65"/>
      <c r="AE89" s="65"/>
      <c r="AF89" s="65">
        <f t="shared" si="35"/>
        <v>0</v>
      </c>
      <c r="AG89" s="66"/>
      <c r="AH89" s="66"/>
      <c r="AI89" s="66">
        <f t="shared" si="36"/>
        <v>0</v>
      </c>
      <c r="AJ89" s="65"/>
      <c r="AK89" s="65"/>
      <c r="AL89" s="65">
        <f t="shared" si="37"/>
        <v>0</v>
      </c>
      <c r="AM89" s="66"/>
      <c r="AN89" s="66"/>
      <c r="AO89" s="66">
        <f t="shared" si="48"/>
        <v>0</v>
      </c>
    </row>
    <row r="90" spans="1:41" ht="17.25" x14ac:dyDescent="0.3">
      <c r="A90" s="71" t="s">
        <v>77</v>
      </c>
      <c r="B90" s="16"/>
      <c r="C90" s="17">
        <f>C89</f>
        <v>1363781</v>
      </c>
      <c r="D90" s="28"/>
      <c r="F90" s="17">
        <f>F89</f>
        <v>1363781</v>
      </c>
      <c r="G90" s="17">
        <f t="shared" ref="G90:AO90" si="49">G89</f>
        <v>0</v>
      </c>
      <c r="H90" s="17">
        <f t="shared" si="49"/>
        <v>1363781</v>
      </c>
      <c r="I90" s="17">
        <f t="shared" si="49"/>
        <v>0</v>
      </c>
      <c r="J90" s="17">
        <f t="shared" si="49"/>
        <v>0</v>
      </c>
      <c r="K90" s="17">
        <f t="shared" si="49"/>
        <v>0</v>
      </c>
      <c r="L90" s="17">
        <f t="shared" si="49"/>
        <v>0</v>
      </c>
      <c r="M90" s="17">
        <f t="shared" si="49"/>
        <v>0</v>
      </c>
      <c r="N90" s="17">
        <f t="shared" si="49"/>
        <v>0</v>
      </c>
      <c r="O90" s="17">
        <f t="shared" si="49"/>
        <v>0</v>
      </c>
      <c r="P90" s="17">
        <f t="shared" si="49"/>
        <v>0</v>
      </c>
      <c r="Q90" s="17">
        <f t="shared" si="49"/>
        <v>0</v>
      </c>
      <c r="R90" s="17">
        <f t="shared" si="49"/>
        <v>0</v>
      </c>
      <c r="S90" s="17">
        <f t="shared" si="49"/>
        <v>0</v>
      </c>
      <c r="T90" s="17">
        <f t="shared" si="49"/>
        <v>0</v>
      </c>
      <c r="U90" s="17">
        <f t="shared" si="49"/>
        <v>0</v>
      </c>
      <c r="V90" s="17">
        <f t="shared" si="49"/>
        <v>0</v>
      </c>
      <c r="W90" s="17">
        <f t="shared" si="49"/>
        <v>0</v>
      </c>
      <c r="X90" s="17">
        <f t="shared" si="49"/>
        <v>0</v>
      </c>
      <c r="Y90" s="17">
        <f t="shared" si="49"/>
        <v>0</v>
      </c>
      <c r="Z90" s="17">
        <f t="shared" si="49"/>
        <v>0</v>
      </c>
      <c r="AA90" s="17">
        <f t="shared" si="49"/>
        <v>0</v>
      </c>
      <c r="AB90" s="17">
        <f t="shared" si="49"/>
        <v>0</v>
      </c>
      <c r="AC90" s="17">
        <f t="shared" si="49"/>
        <v>0</v>
      </c>
      <c r="AD90" s="17">
        <f t="shared" si="49"/>
        <v>0</v>
      </c>
      <c r="AE90" s="17">
        <f t="shared" si="49"/>
        <v>0</v>
      </c>
      <c r="AF90" s="17">
        <f t="shared" si="49"/>
        <v>0</v>
      </c>
      <c r="AG90" s="17">
        <f t="shared" si="49"/>
        <v>0</v>
      </c>
      <c r="AH90" s="17">
        <f t="shared" si="49"/>
        <v>0</v>
      </c>
      <c r="AI90" s="17">
        <f t="shared" si="49"/>
        <v>0</v>
      </c>
      <c r="AJ90" s="17">
        <f t="shared" si="49"/>
        <v>0</v>
      </c>
      <c r="AK90" s="17">
        <f t="shared" si="49"/>
        <v>0</v>
      </c>
      <c r="AL90" s="17">
        <f t="shared" si="49"/>
        <v>0</v>
      </c>
      <c r="AM90" s="17">
        <f t="shared" si="49"/>
        <v>0</v>
      </c>
      <c r="AN90" s="17">
        <f t="shared" si="49"/>
        <v>0</v>
      </c>
      <c r="AO90" s="17">
        <f t="shared" si="49"/>
        <v>0</v>
      </c>
    </row>
    <row r="91" spans="1:41" ht="11.1" customHeight="1" x14ac:dyDescent="0.3">
      <c r="A91" s="15"/>
      <c r="B91" s="16"/>
      <c r="C91" s="24"/>
      <c r="D91" s="24"/>
      <c r="F91" s="65"/>
      <c r="G91" s="65"/>
      <c r="H91" s="65"/>
      <c r="I91" s="66"/>
      <c r="J91" s="66"/>
      <c r="K91" s="66"/>
      <c r="L91" s="65"/>
      <c r="M91" s="65"/>
      <c r="N91" s="65"/>
      <c r="O91" s="66"/>
      <c r="P91" s="66"/>
      <c r="Q91" s="66"/>
      <c r="R91" s="65"/>
      <c r="S91" s="65"/>
      <c r="T91" s="65"/>
      <c r="U91" s="66"/>
      <c r="V91" s="66"/>
      <c r="W91" s="66"/>
      <c r="X91" s="65"/>
      <c r="Y91" s="65"/>
      <c r="Z91" s="65"/>
      <c r="AA91" s="66"/>
      <c r="AB91" s="66"/>
      <c r="AC91" s="66"/>
      <c r="AD91" s="65"/>
      <c r="AE91" s="65"/>
      <c r="AF91" s="65"/>
      <c r="AG91" s="66"/>
      <c r="AH91" s="66"/>
      <c r="AI91" s="66"/>
      <c r="AJ91" s="65"/>
      <c r="AK91" s="65"/>
      <c r="AL91" s="65"/>
      <c r="AM91" s="66"/>
      <c r="AN91" s="66"/>
      <c r="AO91" s="66"/>
    </row>
    <row r="92" spans="1:41" ht="17.25" x14ac:dyDescent="0.3">
      <c r="A92" s="70" t="s">
        <v>79</v>
      </c>
      <c r="B92" s="16"/>
      <c r="C92" s="19"/>
      <c r="D92" s="24"/>
      <c r="F92" s="65"/>
      <c r="G92" s="65"/>
      <c r="H92" s="65"/>
      <c r="I92" s="66"/>
      <c r="J92" s="66"/>
      <c r="K92" s="66"/>
      <c r="L92" s="65"/>
      <c r="M92" s="65"/>
      <c r="N92" s="65"/>
      <c r="O92" s="66"/>
      <c r="P92" s="66"/>
      <c r="Q92" s="66"/>
      <c r="R92" s="65"/>
      <c r="S92" s="65"/>
      <c r="T92" s="65"/>
      <c r="U92" s="66"/>
      <c r="V92" s="66"/>
      <c r="W92" s="66"/>
      <c r="X92" s="65"/>
      <c r="Y92" s="65"/>
      <c r="Z92" s="65"/>
      <c r="AA92" s="66"/>
      <c r="AB92" s="66"/>
      <c r="AC92" s="66"/>
      <c r="AD92" s="65"/>
      <c r="AE92" s="65"/>
      <c r="AF92" s="65"/>
      <c r="AG92" s="66"/>
      <c r="AH92" s="66"/>
      <c r="AI92" s="66"/>
      <c r="AJ92" s="65"/>
      <c r="AK92" s="65"/>
      <c r="AL92" s="65"/>
      <c r="AM92" s="66"/>
      <c r="AN92" s="66"/>
      <c r="AO92" s="66"/>
    </row>
    <row r="93" spans="1:41" ht="17.25" x14ac:dyDescent="0.3">
      <c r="A93" s="68" t="s">
        <v>75</v>
      </c>
      <c r="B93" s="16"/>
      <c r="C93" s="14">
        <f>H93+K93+N93+Q93+T93+W93+Z93+AC93+AF93+AI93+AL93+AO93</f>
        <v>22628</v>
      </c>
      <c r="D93" s="24"/>
      <c r="F93" s="65">
        <v>22628</v>
      </c>
      <c r="G93" s="65"/>
      <c r="H93" s="65">
        <f t="shared" si="27"/>
        <v>22628</v>
      </c>
      <c r="I93" s="66"/>
      <c r="J93" s="66"/>
      <c r="K93" s="66">
        <f t="shared" si="28"/>
        <v>0</v>
      </c>
      <c r="L93" s="65"/>
      <c r="M93" s="65"/>
      <c r="N93" s="65">
        <f t="shared" si="29"/>
        <v>0</v>
      </c>
      <c r="O93" s="66"/>
      <c r="P93" s="66"/>
      <c r="Q93" s="66">
        <f t="shared" si="30"/>
        <v>0</v>
      </c>
      <c r="R93" s="65"/>
      <c r="S93" s="65"/>
      <c r="T93" s="65">
        <f t="shared" si="31"/>
        <v>0</v>
      </c>
      <c r="U93" s="66"/>
      <c r="V93" s="66"/>
      <c r="W93" s="66">
        <f t="shared" si="32"/>
        <v>0</v>
      </c>
      <c r="X93" s="65"/>
      <c r="Y93" s="65"/>
      <c r="Z93" s="65">
        <f t="shared" si="33"/>
        <v>0</v>
      </c>
      <c r="AA93" s="66"/>
      <c r="AB93" s="66"/>
      <c r="AC93" s="66">
        <f t="shared" si="34"/>
        <v>0</v>
      </c>
      <c r="AD93" s="65"/>
      <c r="AE93" s="65"/>
      <c r="AF93" s="65">
        <f t="shared" si="35"/>
        <v>0</v>
      </c>
      <c r="AG93" s="66"/>
      <c r="AH93" s="66"/>
      <c r="AI93" s="66">
        <f t="shared" si="36"/>
        <v>0</v>
      </c>
      <c r="AJ93" s="65"/>
      <c r="AK93" s="65"/>
      <c r="AL93" s="65">
        <f t="shared" si="37"/>
        <v>0</v>
      </c>
      <c r="AM93" s="66"/>
      <c r="AN93" s="66"/>
      <c r="AO93" s="66">
        <f t="shared" ref="AO93:AO96" si="50">AM93+AN93</f>
        <v>0</v>
      </c>
    </row>
    <row r="94" spans="1:41" ht="17.25" x14ac:dyDescent="0.3">
      <c r="A94" s="15" t="s">
        <v>35</v>
      </c>
      <c r="B94" s="16"/>
      <c r="C94" s="14">
        <f>H94+K94+N94+Q94+T94+W94+Z94+AC94+AF94+AI94+AL94+AO94</f>
        <v>377602</v>
      </c>
      <c r="D94" s="24"/>
      <c r="F94" s="65">
        <v>130039</v>
      </c>
      <c r="G94" s="65"/>
      <c r="H94" s="65">
        <f t="shared" si="27"/>
        <v>130039</v>
      </c>
      <c r="I94" s="66">
        <v>35975</v>
      </c>
      <c r="J94" s="66"/>
      <c r="K94" s="66">
        <f t="shared" si="28"/>
        <v>35975</v>
      </c>
      <c r="L94" s="65">
        <v>148763</v>
      </c>
      <c r="M94" s="65"/>
      <c r="N94" s="65">
        <f t="shared" si="29"/>
        <v>148763</v>
      </c>
      <c r="O94" s="66">
        <v>51640</v>
      </c>
      <c r="P94" s="66"/>
      <c r="Q94" s="66">
        <f t="shared" si="30"/>
        <v>51640</v>
      </c>
      <c r="R94" s="65">
        <v>11185</v>
      </c>
      <c r="S94" s="65"/>
      <c r="T94" s="65">
        <f t="shared" si="31"/>
        <v>11185</v>
      </c>
      <c r="U94" s="66"/>
      <c r="V94" s="66"/>
      <c r="W94" s="66">
        <f t="shared" si="32"/>
        <v>0</v>
      </c>
      <c r="X94" s="65"/>
      <c r="Y94" s="65"/>
      <c r="Z94" s="65">
        <f t="shared" si="33"/>
        <v>0</v>
      </c>
      <c r="AA94" s="66"/>
      <c r="AB94" s="66"/>
      <c r="AC94" s="66">
        <f t="shared" si="34"/>
        <v>0</v>
      </c>
      <c r="AD94" s="65"/>
      <c r="AE94" s="65"/>
      <c r="AF94" s="65">
        <f t="shared" si="35"/>
        <v>0</v>
      </c>
      <c r="AG94" s="66"/>
      <c r="AH94" s="66"/>
      <c r="AI94" s="66">
        <f t="shared" si="36"/>
        <v>0</v>
      </c>
      <c r="AJ94" s="65"/>
      <c r="AK94" s="65"/>
      <c r="AL94" s="65">
        <f t="shared" si="37"/>
        <v>0</v>
      </c>
      <c r="AM94" s="66"/>
      <c r="AN94" s="66"/>
      <c r="AO94" s="66">
        <f t="shared" si="50"/>
        <v>0</v>
      </c>
    </row>
    <row r="95" spans="1:41" ht="17.25" x14ac:dyDescent="0.3">
      <c r="A95" s="68" t="s">
        <v>76</v>
      </c>
      <c r="B95" s="16"/>
      <c r="C95" s="14">
        <f>H95+K95+N95+Q95+T95+W95+Z95+AC95+AF95+AI95+AL95+AO95</f>
        <v>70073</v>
      </c>
      <c r="D95" s="24"/>
      <c r="F95" s="65">
        <v>46923</v>
      </c>
      <c r="G95" s="65"/>
      <c r="H95" s="65">
        <f t="shared" si="27"/>
        <v>46923</v>
      </c>
      <c r="I95" s="66">
        <v>23150</v>
      </c>
      <c r="J95" s="66"/>
      <c r="K95" s="66">
        <f t="shared" si="28"/>
        <v>23150</v>
      </c>
      <c r="L95" s="65"/>
      <c r="M95" s="65"/>
      <c r="N95" s="65">
        <f t="shared" si="29"/>
        <v>0</v>
      </c>
      <c r="O95" s="66"/>
      <c r="P95" s="66"/>
      <c r="Q95" s="66">
        <f t="shared" si="30"/>
        <v>0</v>
      </c>
      <c r="R95" s="65"/>
      <c r="S95" s="65"/>
      <c r="T95" s="65">
        <f t="shared" si="31"/>
        <v>0</v>
      </c>
      <c r="U95" s="66"/>
      <c r="V95" s="66"/>
      <c r="W95" s="66">
        <f t="shared" si="32"/>
        <v>0</v>
      </c>
      <c r="X95" s="65"/>
      <c r="Y95" s="65"/>
      <c r="Z95" s="65">
        <f t="shared" si="33"/>
        <v>0</v>
      </c>
      <c r="AA95" s="66"/>
      <c r="AB95" s="66"/>
      <c r="AC95" s="66">
        <f t="shared" si="34"/>
        <v>0</v>
      </c>
      <c r="AD95" s="65"/>
      <c r="AE95" s="65"/>
      <c r="AF95" s="65">
        <f t="shared" si="35"/>
        <v>0</v>
      </c>
      <c r="AG95" s="66"/>
      <c r="AH95" s="66"/>
      <c r="AI95" s="66">
        <f t="shared" si="36"/>
        <v>0</v>
      </c>
      <c r="AJ95" s="65"/>
      <c r="AK95" s="65"/>
      <c r="AL95" s="65">
        <f t="shared" si="37"/>
        <v>0</v>
      </c>
      <c r="AM95" s="66"/>
      <c r="AN95" s="66"/>
      <c r="AO95" s="66">
        <f t="shared" si="50"/>
        <v>0</v>
      </c>
    </row>
    <row r="96" spans="1:41" ht="18.95" customHeight="1" x14ac:dyDescent="0.3">
      <c r="A96" s="15" t="s">
        <v>36</v>
      </c>
      <c r="B96" s="16"/>
      <c r="C96" s="14">
        <f>H96+K96+N96+Q96+T96+W96+Z96+AC96+AF96+AI96+AL96+AO96</f>
        <v>523129</v>
      </c>
      <c r="D96" s="45"/>
      <c r="F96" s="65">
        <v>238201</v>
      </c>
      <c r="G96" s="76">
        <v>-114298</v>
      </c>
      <c r="H96" s="65">
        <f t="shared" si="27"/>
        <v>123903</v>
      </c>
      <c r="I96" s="66">
        <v>230648</v>
      </c>
      <c r="J96" s="66"/>
      <c r="K96" s="66">
        <f t="shared" si="28"/>
        <v>230648</v>
      </c>
      <c r="L96" s="65">
        <v>52585</v>
      </c>
      <c r="M96" s="113">
        <v>-7161</v>
      </c>
      <c r="N96" s="65">
        <f t="shared" si="29"/>
        <v>45424</v>
      </c>
      <c r="O96" s="66">
        <v>154933</v>
      </c>
      <c r="P96" s="97">
        <v>-43640</v>
      </c>
      <c r="Q96" s="66">
        <f t="shared" si="30"/>
        <v>111293</v>
      </c>
      <c r="R96" s="65">
        <v>15248</v>
      </c>
      <c r="S96" s="97">
        <f>-5507-3300</f>
        <v>-8807</v>
      </c>
      <c r="T96" s="65">
        <f t="shared" si="31"/>
        <v>6441</v>
      </c>
      <c r="U96" s="66">
        <v>6890</v>
      </c>
      <c r="V96" s="97">
        <v>-6890</v>
      </c>
      <c r="W96" s="66">
        <f t="shared" si="32"/>
        <v>0</v>
      </c>
      <c r="X96" s="65">
        <v>3080</v>
      </c>
      <c r="Y96" s="97">
        <v>-2220</v>
      </c>
      <c r="Z96" s="65">
        <f t="shared" si="33"/>
        <v>860</v>
      </c>
      <c r="AA96" s="66"/>
      <c r="AB96" s="66"/>
      <c r="AC96" s="66">
        <f t="shared" si="34"/>
        <v>0</v>
      </c>
      <c r="AD96" s="65"/>
      <c r="AE96" s="65"/>
      <c r="AF96" s="65">
        <f t="shared" si="35"/>
        <v>0</v>
      </c>
      <c r="AG96" s="66"/>
      <c r="AH96" s="66"/>
      <c r="AI96" s="66">
        <f t="shared" si="36"/>
        <v>0</v>
      </c>
      <c r="AJ96" s="65">
        <v>16657</v>
      </c>
      <c r="AK96" s="97">
        <v>-12097</v>
      </c>
      <c r="AL96" s="65">
        <f t="shared" si="37"/>
        <v>4560</v>
      </c>
      <c r="AM96" s="66"/>
      <c r="AN96" s="66"/>
      <c r="AO96" s="66">
        <f t="shared" si="50"/>
        <v>0</v>
      </c>
    </row>
    <row r="97" spans="1:41" ht="18.95" customHeight="1" x14ac:dyDescent="0.3">
      <c r="A97" s="70" t="s">
        <v>80</v>
      </c>
      <c r="B97" s="16"/>
      <c r="C97" s="28">
        <f>SUM(C93:C96)</f>
        <v>993432</v>
      </c>
      <c r="D97" s="28"/>
      <c r="F97" s="28">
        <f>SUM(F93:F96)</f>
        <v>437791</v>
      </c>
      <c r="G97" s="28">
        <f>SUM(G93:G96)</f>
        <v>-114298</v>
      </c>
      <c r="H97" s="28">
        <f>SUM(H93:H96)</f>
        <v>323493</v>
      </c>
      <c r="I97" s="28">
        <f t="shared" ref="I97:AO97" si="51">SUM(I93:I96)</f>
        <v>289773</v>
      </c>
      <c r="J97" s="28">
        <f t="shared" si="51"/>
        <v>0</v>
      </c>
      <c r="K97" s="28">
        <f t="shared" si="51"/>
        <v>289773</v>
      </c>
      <c r="L97" s="28">
        <f t="shared" si="51"/>
        <v>201348</v>
      </c>
      <c r="M97" s="28">
        <f t="shared" si="51"/>
        <v>-7161</v>
      </c>
      <c r="N97" s="28">
        <f t="shared" si="51"/>
        <v>194187</v>
      </c>
      <c r="O97" s="28">
        <f t="shared" si="51"/>
        <v>206573</v>
      </c>
      <c r="P97" s="28">
        <f t="shared" si="51"/>
        <v>-43640</v>
      </c>
      <c r="Q97" s="28">
        <f t="shared" si="51"/>
        <v>162933</v>
      </c>
      <c r="R97" s="28">
        <f t="shared" si="51"/>
        <v>26433</v>
      </c>
      <c r="S97" s="28">
        <f t="shared" si="51"/>
        <v>-8807</v>
      </c>
      <c r="T97" s="28">
        <f t="shared" si="51"/>
        <v>17626</v>
      </c>
      <c r="U97" s="28">
        <f t="shared" si="51"/>
        <v>6890</v>
      </c>
      <c r="V97" s="28">
        <f t="shared" si="51"/>
        <v>-6890</v>
      </c>
      <c r="W97" s="28">
        <f t="shared" si="51"/>
        <v>0</v>
      </c>
      <c r="X97" s="28">
        <f t="shared" si="51"/>
        <v>3080</v>
      </c>
      <c r="Y97" s="28">
        <f t="shared" si="51"/>
        <v>-2220</v>
      </c>
      <c r="Z97" s="28">
        <f t="shared" si="51"/>
        <v>860</v>
      </c>
      <c r="AA97" s="28">
        <f t="shared" si="51"/>
        <v>0</v>
      </c>
      <c r="AB97" s="28">
        <f t="shared" si="51"/>
        <v>0</v>
      </c>
      <c r="AC97" s="28">
        <f t="shared" si="51"/>
        <v>0</v>
      </c>
      <c r="AD97" s="28">
        <f t="shared" si="51"/>
        <v>0</v>
      </c>
      <c r="AE97" s="28">
        <f t="shared" si="51"/>
        <v>0</v>
      </c>
      <c r="AF97" s="28">
        <f t="shared" si="51"/>
        <v>0</v>
      </c>
      <c r="AG97" s="28">
        <f t="shared" si="51"/>
        <v>0</v>
      </c>
      <c r="AH97" s="28">
        <f t="shared" si="51"/>
        <v>0</v>
      </c>
      <c r="AI97" s="28">
        <f t="shared" si="51"/>
        <v>0</v>
      </c>
      <c r="AJ97" s="28">
        <f t="shared" si="51"/>
        <v>16657</v>
      </c>
      <c r="AK97" s="28">
        <f t="shared" si="51"/>
        <v>-12097</v>
      </c>
      <c r="AL97" s="28">
        <f t="shared" si="51"/>
        <v>4560</v>
      </c>
      <c r="AM97" s="28">
        <f t="shared" si="51"/>
        <v>0</v>
      </c>
      <c r="AN97" s="28">
        <f t="shared" si="51"/>
        <v>0</v>
      </c>
      <c r="AO97" s="28">
        <f t="shared" si="51"/>
        <v>0</v>
      </c>
    </row>
    <row r="98" spans="1:41" ht="18.95" customHeight="1" x14ac:dyDescent="0.3">
      <c r="A98" s="70" t="s">
        <v>81</v>
      </c>
      <c r="B98" s="16"/>
      <c r="C98" s="72">
        <f>C90+C97</f>
        <v>2357213</v>
      </c>
      <c r="D98" s="28"/>
      <c r="F98" s="72">
        <f>F90+F97</f>
        <v>1801572</v>
      </c>
      <c r="G98" s="72">
        <f t="shared" ref="G98:AO98" si="52">G90+G97</f>
        <v>-114298</v>
      </c>
      <c r="H98" s="72">
        <f t="shared" si="52"/>
        <v>1687274</v>
      </c>
      <c r="I98" s="72">
        <f t="shared" si="52"/>
        <v>289773</v>
      </c>
      <c r="J98" s="72">
        <f t="shared" si="52"/>
        <v>0</v>
      </c>
      <c r="K98" s="72">
        <f t="shared" si="52"/>
        <v>289773</v>
      </c>
      <c r="L98" s="72">
        <f t="shared" si="52"/>
        <v>201348</v>
      </c>
      <c r="M98" s="72">
        <f t="shared" si="52"/>
        <v>-7161</v>
      </c>
      <c r="N98" s="72">
        <f t="shared" si="52"/>
        <v>194187</v>
      </c>
      <c r="O98" s="72">
        <f t="shared" si="52"/>
        <v>206573</v>
      </c>
      <c r="P98" s="72">
        <f t="shared" si="52"/>
        <v>-43640</v>
      </c>
      <c r="Q98" s="72">
        <f t="shared" si="52"/>
        <v>162933</v>
      </c>
      <c r="R98" s="72">
        <f t="shared" si="52"/>
        <v>26433</v>
      </c>
      <c r="S98" s="72">
        <f t="shared" si="52"/>
        <v>-8807</v>
      </c>
      <c r="T98" s="72">
        <f t="shared" si="52"/>
        <v>17626</v>
      </c>
      <c r="U98" s="72">
        <f t="shared" si="52"/>
        <v>6890</v>
      </c>
      <c r="V98" s="72">
        <f t="shared" si="52"/>
        <v>-6890</v>
      </c>
      <c r="W98" s="72">
        <f t="shared" si="52"/>
        <v>0</v>
      </c>
      <c r="X98" s="72">
        <f t="shared" si="52"/>
        <v>3080</v>
      </c>
      <c r="Y98" s="72">
        <f t="shared" si="52"/>
        <v>-2220</v>
      </c>
      <c r="Z98" s="72">
        <f t="shared" si="52"/>
        <v>860</v>
      </c>
      <c r="AA98" s="72">
        <f t="shared" si="52"/>
        <v>0</v>
      </c>
      <c r="AB98" s="72">
        <f t="shared" si="52"/>
        <v>0</v>
      </c>
      <c r="AC98" s="72">
        <f t="shared" si="52"/>
        <v>0</v>
      </c>
      <c r="AD98" s="72">
        <f t="shared" si="52"/>
        <v>0</v>
      </c>
      <c r="AE98" s="72">
        <f t="shared" si="52"/>
        <v>0</v>
      </c>
      <c r="AF98" s="72">
        <f t="shared" si="52"/>
        <v>0</v>
      </c>
      <c r="AG98" s="72">
        <f t="shared" si="52"/>
        <v>0</v>
      </c>
      <c r="AH98" s="72">
        <f t="shared" si="52"/>
        <v>0</v>
      </c>
      <c r="AI98" s="72">
        <f t="shared" si="52"/>
        <v>0</v>
      </c>
      <c r="AJ98" s="72">
        <f t="shared" si="52"/>
        <v>16657</v>
      </c>
      <c r="AK98" s="72">
        <f t="shared" si="52"/>
        <v>-12097</v>
      </c>
      <c r="AL98" s="72">
        <f t="shared" si="52"/>
        <v>4560</v>
      </c>
      <c r="AM98" s="72">
        <f t="shared" si="52"/>
        <v>0</v>
      </c>
      <c r="AN98" s="72">
        <f t="shared" si="52"/>
        <v>0</v>
      </c>
      <c r="AO98" s="72">
        <f t="shared" si="52"/>
        <v>0</v>
      </c>
    </row>
    <row r="99" spans="1:41" ht="18.95" customHeight="1" x14ac:dyDescent="0.3">
      <c r="A99" s="4"/>
      <c r="B99" s="16"/>
      <c r="C99" s="28"/>
      <c r="D99" s="28"/>
      <c r="F99" s="28"/>
      <c r="G99" s="65"/>
      <c r="H99" s="65"/>
      <c r="I99" s="66"/>
      <c r="J99" s="66"/>
      <c r="K99" s="66"/>
      <c r="L99" s="65"/>
      <c r="M99" s="65"/>
      <c r="N99" s="65"/>
      <c r="O99" s="66"/>
      <c r="P99" s="66"/>
      <c r="Q99" s="66"/>
      <c r="R99" s="65"/>
      <c r="S99" s="65"/>
      <c r="T99" s="65"/>
      <c r="U99" s="66"/>
      <c r="V99" s="66"/>
      <c r="W99" s="66"/>
      <c r="X99" s="65"/>
      <c r="Y99" s="65"/>
      <c r="Z99" s="65"/>
      <c r="AA99" s="66"/>
      <c r="AB99" s="66"/>
      <c r="AC99" s="66"/>
      <c r="AD99" s="65"/>
      <c r="AE99" s="65"/>
      <c r="AF99" s="65"/>
      <c r="AG99" s="66"/>
      <c r="AH99" s="66"/>
      <c r="AI99" s="66"/>
      <c r="AJ99" s="65"/>
      <c r="AK99" s="65"/>
      <c r="AL99" s="65"/>
      <c r="AM99" s="66"/>
      <c r="AN99" s="66"/>
      <c r="AO99" s="66"/>
    </row>
    <row r="100" spans="1:41" ht="18.95" customHeight="1" thickBot="1" x14ac:dyDescent="0.35">
      <c r="A100" s="4" t="s">
        <v>37</v>
      </c>
      <c r="B100" s="16"/>
      <c r="C100" s="17">
        <f>C85+C98</f>
        <v>3391771</v>
      </c>
      <c r="D100" s="28"/>
      <c r="F100" s="17">
        <f>F85+F98</f>
        <v>2009562</v>
      </c>
      <c r="G100" s="17">
        <f t="shared" ref="G100:AO100" si="53">G85+G98</f>
        <v>-114298</v>
      </c>
      <c r="H100" s="17">
        <f t="shared" si="53"/>
        <v>1895264</v>
      </c>
      <c r="I100" s="17">
        <f t="shared" si="53"/>
        <v>178345</v>
      </c>
      <c r="J100" s="17">
        <f t="shared" si="53"/>
        <v>0</v>
      </c>
      <c r="K100" s="17">
        <f t="shared" si="53"/>
        <v>178345</v>
      </c>
      <c r="L100" s="17">
        <f t="shared" si="53"/>
        <v>1065529</v>
      </c>
      <c r="M100" s="17">
        <f t="shared" si="53"/>
        <v>-7161</v>
      </c>
      <c r="N100" s="17">
        <f t="shared" si="53"/>
        <v>1058368</v>
      </c>
      <c r="O100" s="17">
        <f t="shared" si="53"/>
        <v>172475</v>
      </c>
      <c r="P100" s="17">
        <f t="shared" si="53"/>
        <v>-43640</v>
      </c>
      <c r="Q100" s="17">
        <f t="shared" si="53"/>
        <v>128835</v>
      </c>
      <c r="R100" s="17">
        <f t="shared" si="53"/>
        <v>61479</v>
      </c>
      <c r="S100" s="17">
        <f t="shared" si="53"/>
        <v>-8807</v>
      </c>
      <c r="T100" s="17">
        <f t="shared" si="53"/>
        <v>52672</v>
      </c>
      <c r="U100" s="17">
        <f t="shared" si="53"/>
        <v>58850</v>
      </c>
      <c r="V100" s="17">
        <f t="shared" si="53"/>
        <v>-6890</v>
      </c>
      <c r="W100" s="17">
        <f t="shared" si="53"/>
        <v>51960</v>
      </c>
      <c r="X100" s="17">
        <f t="shared" si="53"/>
        <v>34276</v>
      </c>
      <c r="Y100" s="17">
        <f t="shared" si="53"/>
        <v>-2220</v>
      </c>
      <c r="Z100" s="17">
        <f t="shared" si="53"/>
        <v>32056</v>
      </c>
      <c r="AA100" s="17">
        <f t="shared" si="53"/>
        <v>2959</v>
      </c>
      <c r="AB100" s="17">
        <f t="shared" si="53"/>
        <v>0</v>
      </c>
      <c r="AC100" s="17">
        <f t="shared" si="53"/>
        <v>2959</v>
      </c>
      <c r="AD100" s="17">
        <f t="shared" si="53"/>
        <v>3031</v>
      </c>
      <c r="AE100" s="17">
        <f t="shared" si="53"/>
        <v>0</v>
      </c>
      <c r="AF100" s="17">
        <f t="shared" si="53"/>
        <v>3031</v>
      </c>
      <c r="AG100" s="17">
        <f t="shared" si="53"/>
        <v>29</v>
      </c>
      <c r="AH100" s="17">
        <f t="shared" si="53"/>
        <v>0</v>
      </c>
      <c r="AI100" s="17">
        <f t="shared" si="53"/>
        <v>29</v>
      </c>
      <c r="AJ100" s="17">
        <f t="shared" si="53"/>
        <v>87</v>
      </c>
      <c r="AK100" s="17">
        <f t="shared" si="53"/>
        <v>-12097</v>
      </c>
      <c r="AL100" s="17">
        <f t="shared" si="53"/>
        <v>-12010</v>
      </c>
      <c r="AM100" s="17">
        <f t="shared" si="53"/>
        <v>262</v>
      </c>
      <c r="AN100" s="17">
        <f t="shared" si="53"/>
        <v>0</v>
      </c>
      <c r="AO100" s="17">
        <f t="shared" si="53"/>
        <v>262</v>
      </c>
    </row>
    <row r="101" spans="1:41" ht="15.75" thickTop="1" x14ac:dyDescent="0.2">
      <c r="C101" s="73">
        <f>C75-C100</f>
        <v>0</v>
      </c>
      <c r="D101" s="50"/>
      <c r="F101" s="73">
        <f>F75-F100</f>
        <v>0</v>
      </c>
      <c r="G101" s="73">
        <f t="shared" ref="G101:AO101" si="54">G75-G100</f>
        <v>38990</v>
      </c>
      <c r="H101" s="73">
        <f t="shared" si="54"/>
        <v>38990</v>
      </c>
      <c r="I101" s="73">
        <f t="shared" si="54"/>
        <v>0</v>
      </c>
      <c r="J101" s="73">
        <f t="shared" si="54"/>
        <v>-114298</v>
      </c>
      <c r="K101" s="73">
        <f t="shared" si="54"/>
        <v>-114298</v>
      </c>
      <c r="L101" s="73">
        <f t="shared" si="54"/>
        <v>0</v>
      </c>
      <c r="M101" s="73">
        <f t="shared" si="54"/>
        <v>7161</v>
      </c>
      <c r="N101" s="73">
        <f t="shared" si="54"/>
        <v>7161</v>
      </c>
      <c r="O101" s="73">
        <f t="shared" si="54"/>
        <v>0</v>
      </c>
      <c r="P101" s="73">
        <f t="shared" si="54"/>
        <v>38133</v>
      </c>
      <c r="Q101" s="73">
        <f t="shared" si="54"/>
        <v>38133</v>
      </c>
      <c r="R101" s="73">
        <f t="shared" si="54"/>
        <v>0</v>
      </c>
      <c r="S101" s="73">
        <f t="shared" si="54"/>
        <v>8807</v>
      </c>
      <c r="T101" s="73">
        <f t="shared" si="54"/>
        <v>8807</v>
      </c>
      <c r="U101" s="73">
        <f t="shared" si="54"/>
        <v>0</v>
      </c>
      <c r="V101" s="73">
        <f t="shared" si="54"/>
        <v>6890</v>
      </c>
      <c r="W101" s="73">
        <f t="shared" si="54"/>
        <v>6890</v>
      </c>
      <c r="X101" s="73">
        <f t="shared" si="54"/>
        <v>0</v>
      </c>
      <c r="Y101" s="73">
        <f t="shared" si="54"/>
        <v>2220</v>
      </c>
      <c r="Z101" s="73">
        <f t="shared" si="54"/>
        <v>2220</v>
      </c>
      <c r="AA101" s="73">
        <f t="shared" si="54"/>
        <v>0</v>
      </c>
      <c r="AB101" s="73">
        <f t="shared" si="54"/>
        <v>0</v>
      </c>
      <c r="AC101" s="73">
        <f t="shared" si="54"/>
        <v>0</v>
      </c>
      <c r="AD101" s="73">
        <f t="shared" si="54"/>
        <v>0</v>
      </c>
      <c r="AE101" s="73">
        <f t="shared" si="54"/>
        <v>0</v>
      </c>
      <c r="AF101" s="73">
        <f t="shared" si="54"/>
        <v>0</v>
      </c>
      <c r="AG101" s="73">
        <f t="shared" si="54"/>
        <v>0</v>
      </c>
      <c r="AH101" s="73">
        <f t="shared" si="54"/>
        <v>0</v>
      </c>
      <c r="AI101" s="73">
        <f t="shared" si="54"/>
        <v>0</v>
      </c>
      <c r="AJ101" s="73">
        <f t="shared" si="54"/>
        <v>0</v>
      </c>
      <c r="AK101" s="73">
        <f t="shared" si="54"/>
        <v>12097</v>
      </c>
      <c r="AL101" s="73">
        <f t="shared" si="54"/>
        <v>12097</v>
      </c>
      <c r="AM101" s="73">
        <f t="shared" si="54"/>
        <v>0</v>
      </c>
      <c r="AN101" s="73">
        <f t="shared" si="54"/>
        <v>0</v>
      </c>
      <c r="AO101" s="73">
        <f t="shared" si="54"/>
        <v>0</v>
      </c>
    </row>
    <row r="102" spans="1:41" x14ac:dyDescent="0.2">
      <c r="C102" s="50"/>
      <c r="D102" s="50"/>
    </row>
    <row r="103" spans="1:41" x14ac:dyDescent="0.2">
      <c r="C103" s="51"/>
      <c r="D103" s="52"/>
    </row>
    <row r="104" spans="1:41" x14ac:dyDescent="0.2">
      <c r="A104" s="15"/>
      <c r="B104" s="115"/>
      <c r="C104" s="115"/>
      <c r="D104" s="56"/>
    </row>
    <row r="105" spans="1:41" x14ac:dyDescent="0.2">
      <c r="A105" s="15"/>
      <c r="C105" s="15"/>
      <c r="D105" s="12"/>
    </row>
    <row r="106" spans="1:41" x14ac:dyDescent="0.2">
      <c r="A106" s="15"/>
      <c r="C106" s="15"/>
      <c r="D106" s="12"/>
    </row>
    <row r="107" spans="1:41" x14ac:dyDescent="0.2">
      <c r="A107" s="15"/>
      <c r="C107" s="15"/>
      <c r="D107" s="12"/>
    </row>
    <row r="108" spans="1:41" x14ac:dyDescent="0.2">
      <c r="A108" s="15"/>
      <c r="C108" s="15"/>
      <c r="D108" s="12"/>
    </row>
    <row r="109" spans="1:41" ht="15.75" x14ac:dyDescent="0.25">
      <c r="A109" s="71" t="s">
        <v>130</v>
      </c>
      <c r="C109" s="15"/>
      <c r="D109" s="12"/>
    </row>
    <row r="110" spans="1:41" x14ac:dyDescent="0.2">
      <c r="A110" s="15" t="s">
        <v>131</v>
      </c>
      <c r="B110" s="115"/>
      <c r="C110" s="102">
        <f t="shared" ref="C110:C124" si="55">F110+I110+L110+O110+R110+U110+X110+AA110+AD110+AG110+AJ110+AM110</f>
        <v>320837</v>
      </c>
      <c r="D110" s="56"/>
      <c r="F110" s="3">
        <v>320837</v>
      </c>
    </row>
    <row r="111" spans="1:41" x14ac:dyDescent="0.2">
      <c r="A111" s="15" t="s">
        <v>132</v>
      </c>
      <c r="B111" s="115"/>
      <c r="C111" s="102">
        <f t="shared" si="55"/>
        <v>48438</v>
      </c>
      <c r="D111" s="56"/>
      <c r="F111" s="3">
        <v>48438</v>
      </c>
    </row>
    <row r="112" spans="1:41" x14ac:dyDescent="0.2">
      <c r="A112" s="15" t="s">
        <v>133</v>
      </c>
      <c r="B112" s="115"/>
      <c r="C112" s="102">
        <f t="shared" si="55"/>
        <v>54450</v>
      </c>
      <c r="D112" s="56"/>
      <c r="F112" s="3">
        <v>54450</v>
      </c>
    </row>
    <row r="113" spans="1:24" x14ac:dyDescent="0.2">
      <c r="A113" s="15" t="s">
        <v>134</v>
      </c>
      <c r="B113" s="115"/>
      <c r="C113" s="102">
        <f t="shared" si="55"/>
        <v>23520</v>
      </c>
      <c r="D113" s="56"/>
      <c r="F113" s="3">
        <v>23520</v>
      </c>
    </row>
    <row r="114" spans="1:24" x14ac:dyDescent="0.2">
      <c r="A114" s="15" t="s">
        <v>146</v>
      </c>
      <c r="B114" s="115"/>
      <c r="C114" s="102">
        <f t="shared" si="55"/>
        <v>31750</v>
      </c>
      <c r="D114" s="56"/>
      <c r="L114" s="3">
        <v>31750</v>
      </c>
    </row>
    <row r="115" spans="1:24" x14ac:dyDescent="0.2">
      <c r="A115" s="15" t="s">
        <v>145</v>
      </c>
      <c r="B115" s="115"/>
      <c r="C115" s="102">
        <f t="shared" si="55"/>
        <v>8000</v>
      </c>
      <c r="D115" s="56"/>
      <c r="F115" s="3">
        <v>0</v>
      </c>
      <c r="I115" s="3">
        <v>8000</v>
      </c>
    </row>
    <row r="116" spans="1:24" x14ac:dyDescent="0.2">
      <c r="A116" s="15" t="s">
        <v>135</v>
      </c>
      <c r="B116" s="115"/>
      <c r="C116" s="102">
        <f t="shared" si="55"/>
        <v>94906</v>
      </c>
      <c r="D116" s="56"/>
      <c r="F116" s="3">
        <v>0</v>
      </c>
      <c r="I116" s="3">
        <v>50030</v>
      </c>
      <c r="L116" s="3">
        <v>13040</v>
      </c>
      <c r="O116" s="3">
        <v>22316</v>
      </c>
      <c r="R116" s="3">
        <v>3520</v>
      </c>
      <c r="X116" s="3">
        <v>6000</v>
      </c>
    </row>
    <row r="117" spans="1:24" x14ac:dyDescent="0.2">
      <c r="A117" s="15" t="s">
        <v>136</v>
      </c>
      <c r="B117" s="115"/>
      <c r="C117" s="102">
        <f t="shared" si="55"/>
        <v>89938.4</v>
      </c>
      <c r="D117" s="56"/>
      <c r="F117" s="3">
        <v>0</v>
      </c>
      <c r="I117" s="3">
        <f>1000+19000+65938.4</f>
        <v>85938.4</v>
      </c>
      <c r="O117" s="3">
        <v>4000</v>
      </c>
    </row>
    <row r="118" spans="1:24" x14ac:dyDescent="0.2">
      <c r="A118" s="15" t="s">
        <v>143</v>
      </c>
      <c r="B118" s="115"/>
      <c r="C118" s="102">
        <f t="shared" si="55"/>
        <v>53304.549999999996</v>
      </c>
      <c r="D118" s="56"/>
      <c r="F118" s="3">
        <f>7685.6+45618.95</f>
        <v>53304.549999999996</v>
      </c>
    </row>
    <row r="119" spans="1:24" x14ac:dyDescent="0.2">
      <c r="A119" s="15" t="s">
        <v>140</v>
      </c>
      <c r="B119" s="115"/>
      <c r="C119" s="102">
        <f t="shared" si="55"/>
        <v>44533</v>
      </c>
      <c r="D119" s="56"/>
      <c r="F119" s="3">
        <f>40672+3861</f>
        <v>44533</v>
      </c>
    </row>
    <row r="120" spans="1:24" x14ac:dyDescent="0.2">
      <c r="A120" s="15" t="s">
        <v>137</v>
      </c>
      <c r="B120" s="115"/>
      <c r="C120" s="102">
        <f t="shared" si="55"/>
        <v>66532.5</v>
      </c>
      <c r="D120" s="56"/>
      <c r="I120" s="3">
        <v>42052</v>
      </c>
      <c r="O120" s="3">
        <v>23566.5</v>
      </c>
      <c r="R120" s="3">
        <v>914</v>
      </c>
    </row>
    <row r="121" spans="1:24" x14ac:dyDescent="0.2">
      <c r="A121" s="15" t="s">
        <v>138</v>
      </c>
      <c r="B121" s="115"/>
      <c r="C121" s="102">
        <f t="shared" si="55"/>
        <v>142000.45000000001</v>
      </c>
      <c r="D121" s="56"/>
      <c r="I121" s="3">
        <v>117000.45</v>
      </c>
      <c r="O121" s="3">
        <f>20464+4536</f>
        <v>25000</v>
      </c>
    </row>
    <row r="122" spans="1:24" x14ac:dyDescent="0.2">
      <c r="A122" s="15" t="s">
        <v>144</v>
      </c>
      <c r="B122" s="115"/>
      <c r="C122" s="102">
        <f t="shared" si="55"/>
        <v>35111.15</v>
      </c>
      <c r="D122" s="56"/>
      <c r="F122" s="3">
        <v>6570</v>
      </c>
      <c r="I122" s="3">
        <v>6528</v>
      </c>
      <c r="L122" s="3">
        <v>22013.15</v>
      </c>
    </row>
    <row r="123" spans="1:24" x14ac:dyDescent="0.2">
      <c r="A123" s="15" t="s">
        <v>139</v>
      </c>
      <c r="B123" s="2"/>
      <c r="C123" s="102">
        <f t="shared" si="55"/>
        <v>83946.3</v>
      </c>
      <c r="D123" s="57"/>
      <c r="I123" s="3">
        <f>50577.3+23699</f>
        <v>74276.3</v>
      </c>
      <c r="O123" s="3">
        <v>9320</v>
      </c>
      <c r="R123" s="3">
        <v>350</v>
      </c>
    </row>
    <row r="124" spans="1:24" x14ac:dyDescent="0.2">
      <c r="A124" s="15" t="s">
        <v>141</v>
      </c>
      <c r="B124" s="2"/>
      <c r="C124" s="102">
        <f t="shared" si="55"/>
        <v>4828</v>
      </c>
      <c r="D124" s="57"/>
      <c r="F124" s="3">
        <v>528</v>
      </c>
      <c r="I124" s="3">
        <v>540</v>
      </c>
      <c r="O124" s="3">
        <f>3600+160</f>
        <v>3760</v>
      </c>
    </row>
    <row r="125" spans="1:24" x14ac:dyDescent="0.2">
      <c r="B125" s="2"/>
      <c r="C125" s="103"/>
      <c r="D125" s="57"/>
    </row>
    <row r="126" spans="1:24" x14ac:dyDescent="0.2">
      <c r="A126" s="3" t="s">
        <v>142</v>
      </c>
      <c r="B126" s="2"/>
      <c r="C126" s="103">
        <f>SUM(C110:C125)</f>
        <v>1102095.3500000001</v>
      </c>
      <c r="D126" s="57"/>
      <c r="F126" s="3">
        <f>SUM(F110:F124)</f>
        <v>552180.55000000005</v>
      </c>
      <c r="I126" s="3">
        <f>SUM(I110:I124)</f>
        <v>384365.14999999997</v>
      </c>
      <c r="L126" s="3">
        <f>SUM(L110:L124)</f>
        <v>66803.149999999994</v>
      </c>
      <c r="O126" s="3">
        <f>SUM(O110:O124)</f>
        <v>87962.5</v>
      </c>
      <c r="R126" s="3">
        <f>SUM(R110:R124)</f>
        <v>4784</v>
      </c>
      <c r="U126" s="3">
        <f>SUM(U110:U124)</f>
        <v>0</v>
      </c>
      <c r="X126" s="3">
        <f>SUM(X110:X124)</f>
        <v>6000</v>
      </c>
    </row>
    <row r="127" spans="1:24" x14ac:dyDescent="0.2">
      <c r="B127" s="2"/>
      <c r="C127" s="2"/>
      <c r="D127" s="57"/>
    </row>
    <row r="128" spans="1:24" x14ac:dyDescent="0.2">
      <c r="B128" s="2"/>
      <c r="C128" s="2"/>
      <c r="D128" s="57"/>
    </row>
    <row r="129" spans="1:18" x14ac:dyDescent="0.2">
      <c r="B129" s="2"/>
      <c r="C129" s="2"/>
      <c r="D129" s="57"/>
    </row>
    <row r="130" spans="1:18" x14ac:dyDescent="0.2">
      <c r="A130" s="3" t="s">
        <v>155</v>
      </c>
      <c r="B130" s="2"/>
      <c r="C130" s="102">
        <f>F130+I130+L130+O130+R130+U130+X130+AA130+AD130+AG130+AJ130+AM130</f>
        <v>90250</v>
      </c>
      <c r="D130" s="57"/>
      <c r="F130" s="3">
        <v>26000</v>
      </c>
      <c r="I130" s="3">
        <v>28125</v>
      </c>
      <c r="L130" s="3">
        <v>15000</v>
      </c>
      <c r="O130" s="3">
        <v>12750</v>
      </c>
      <c r="R130" s="3">
        <v>8375</v>
      </c>
    </row>
    <row r="131" spans="1:18" x14ac:dyDescent="0.2">
      <c r="B131" s="2"/>
      <c r="C131" s="2"/>
      <c r="D131" s="57"/>
    </row>
    <row r="132" spans="1:18" x14ac:dyDescent="0.2">
      <c r="B132" s="2"/>
      <c r="C132" s="2"/>
      <c r="D132" s="57"/>
    </row>
    <row r="133" spans="1:18" x14ac:dyDescent="0.2">
      <c r="B133" s="2"/>
      <c r="C133" s="2"/>
      <c r="D133" s="57"/>
    </row>
    <row r="134" spans="1:18" x14ac:dyDescent="0.2">
      <c r="B134" s="2"/>
      <c r="C134" s="2"/>
      <c r="D134" s="57"/>
    </row>
    <row r="135" spans="1:18" x14ac:dyDescent="0.2">
      <c r="B135" s="2"/>
      <c r="C135" s="2"/>
      <c r="D135" s="57"/>
    </row>
    <row r="136" spans="1:18" x14ac:dyDescent="0.2">
      <c r="B136" s="2"/>
      <c r="C136" s="2"/>
      <c r="D136" s="57"/>
    </row>
    <row r="137" spans="1:18" x14ac:dyDescent="0.2">
      <c r="B137" s="2"/>
      <c r="C137" s="2"/>
      <c r="D137" s="57"/>
    </row>
    <row r="138" spans="1:18" x14ac:dyDescent="0.2">
      <c r="B138" s="2"/>
      <c r="C138" s="2"/>
      <c r="D138" s="2"/>
    </row>
    <row r="139" spans="1:18" x14ac:dyDescent="0.2">
      <c r="B139" s="2"/>
      <c r="C139" s="2"/>
      <c r="D139" s="2"/>
    </row>
    <row r="140" spans="1:18" x14ac:dyDescent="0.2">
      <c r="B140" s="2"/>
      <c r="C140" s="2"/>
      <c r="D140" s="2"/>
    </row>
    <row r="141" spans="1:18" x14ac:dyDescent="0.2">
      <c r="B141" s="2"/>
      <c r="C141" s="2"/>
      <c r="D141" s="2"/>
    </row>
    <row r="142" spans="1:18" x14ac:dyDescent="0.2">
      <c r="B142" s="2"/>
      <c r="C142" s="2"/>
      <c r="D142" s="2"/>
    </row>
    <row r="143" spans="1:18" x14ac:dyDescent="0.2">
      <c r="B143" s="2"/>
      <c r="C143" s="2"/>
      <c r="D143" s="2"/>
    </row>
    <row r="144" spans="1:18" x14ac:dyDescent="0.2">
      <c r="B144" s="2"/>
      <c r="C144" s="2"/>
      <c r="D144" s="2"/>
    </row>
    <row r="145" spans="2:4" x14ac:dyDescent="0.2">
      <c r="B145" s="2"/>
      <c r="C145" s="2"/>
      <c r="D145" s="2"/>
    </row>
    <row r="146" spans="2:4" x14ac:dyDescent="0.2">
      <c r="B146" s="2"/>
      <c r="C146" s="2"/>
      <c r="D146" s="2"/>
    </row>
    <row r="147" spans="2:4" x14ac:dyDescent="0.2">
      <c r="B147" s="2"/>
      <c r="C147" s="2"/>
      <c r="D147" s="2"/>
    </row>
    <row r="148" spans="2:4" x14ac:dyDescent="0.2">
      <c r="B148" s="2"/>
      <c r="C148" s="2"/>
      <c r="D148" s="2"/>
    </row>
    <row r="149" spans="2:4" x14ac:dyDescent="0.2">
      <c r="B149" s="2"/>
      <c r="C149" s="2"/>
      <c r="D149" s="2"/>
    </row>
    <row r="150" spans="2:4" x14ac:dyDescent="0.2">
      <c r="B150" s="2"/>
      <c r="C150" s="2"/>
      <c r="D150" s="2"/>
    </row>
    <row r="151" spans="2:4" x14ac:dyDescent="0.2">
      <c r="B151" s="2"/>
      <c r="C151" s="2"/>
      <c r="D151" s="2"/>
    </row>
    <row r="152" spans="2:4" x14ac:dyDescent="0.2">
      <c r="B152" s="2"/>
      <c r="C152" s="2"/>
      <c r="D152" s="2"/>
    </row>
    <row r="153" spans="2:4" x14ac:dyDescent="0.2">
      <c r="B153" s="2"/>
      <c r="C153" s="2"/>
      <c r="D153" s="2"/>
    </row>
    <row r="154" spans="2:4" x14ac:dyDescent="0.2">
      <c r="B154" s="2"/>
      <c r="C154" s="2"/>
      <c r="D154" s="2"/>
    </row>
    <row r="155" spans="2:4" x14ac:dyDescent="0.2">
      <c r="B155" s="2"/>
      <c r="C155" s="2"/>
      <c r="D155" s="2"/>
    </row>
    <row r="156" spans="2:4" x14ac:dyDescent="0.2">
      <c r="B156" s="2"/>
      <c r="C156" s="2"/>
      <c r="D156" s="2"/>
    </row>
    <row r="157" spans="2:4" x14ac:dyDescent="0.2">
      <c r="B157" s="2"/>
      <c r="C157" s="2"/>
      <c r="D157" s="2"/>
    </row>
    <row r="158" spans="2:4" x14ac:dyDescent="0.2">
      <c r="B158" s="2"/>
      <c r="C158" s="2"/>
      <c r="D158" s="2"/>
    </row>
    <row r="159" spans="2:4" x14ac:dyDescent="0.2">
      <c r="B159" s="2"/>
      <c r="C159" s="2"/>
      <c r="D159" s="2"/>
    </row>
    <row r="160" spans="2:4" x14ac:dyDescent="0.2">
      <c r="B160" s="2"/>
      <c r="C160" s="2"/>
      <c r="D160" s="2"/>
    </row>
    <row r="161" spans="2:4" x14ac:dyDescent="0.2">
      <c r="B161" s="2"/>
      <c r="C161" s="2"/>
      <c r="D161" s="2"/>
    </row>
    <row r="162" spans="2:4" x14ac:dyDescent="0.2">
      <c r="B162" s="2"/>
      <c r="C162" s="2"/>
      <c r="D162" s="2"/>
    </row>
    <row r="163" spans="2:4" x14ac:dyDescent="0.2">
      <c r="B163" s="2"/>
      <c r="C163" s="2"/>
      <c r="D163" s="2"/>
    </row>
    <row r="164" spans="2:4" x14ac:dyDescent="0.2">
      <c r="B164" s="2"/>
      <c r="C164" s="2"/>
      <c r="D164" s="2"/>
    </row>
    <row r="165" spans="2:4" x14ac:dyDescent="0.2">
      <c r="B165" s="2"/>
      <c r="C165" s="2"/>
      <c r="D165" s="2"/>
    </row>
  </sheetData>
  <mergeCells count="12">
    <mergeCell ref="AM3:AO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A162"/>
  <sheetViews>
    <sheetView zoomScale="80" zoomScaleNormal="80" workbookViewId="0">
      <pane xSplit="2" ySplit="4" topLeftCell="C27" activePane="bottomRight" state="frozen"/>
      <selection pane="topRight" activeCell="C1" sqref="C1"/>
      <selection pane="bottomLeft" activeCell="A5" sqref="A5"/>
      <selection pane="bottomRight" activeCell="C46" sqref="C46"/>
    </sheetView>
  </sheetViews>
  <sheetFormatPr baseColWidth="10" defaultColWidth="12.42578125" defaultRowHeight="15" x14ac:dyDescent="0.2"/>
  <cols>
    <col min="1" max="1" width="44.7109375" style="3" customWidth="1"/>
    <col min="2" max="2" width="9" style="3" hidden="1" customWidth="1"/>
    <col min="3" max="3" width="16.28515625" style="3" customWidth="1"/>
    <col min="4" max="4" width="16.28515625" style="3" hidden="1" customWidth="1"/>
    <col min="5" max="5" width="12.42578125" style="3" customWidth="1"/>
    <col min="6" max="6" width="13.5703125" style="3" customWidth="1"/>
    <col min="7" max="7" width="12.42578125" style="3" customWidth="1"/>
    <col min="8" max="8" width="13.140625" style="3" customWidth="1"/>
    <col min="9" max="235" width="12.42578125" style="3" customWidth="1"/>
    <col min="236" max="16384" width="12.42578125" style="58"/>
  </cols>
  <sheetData>
    <row r="1" spans="1:41" ht="30" x14ac:dyDescent="0.4">
      <c r="A1" s="1" t="s">
        <v>39</v>
      </c>
      <c r="B1" s="2"/>
      <c r="C1" s="2"/>
      <c r="D1" s="2"/>
    </row>
    <row r="2" spans="1:41" ht="6.95" customHeight="1" x14ac:dyDescent="0.2">
      <c r="B2" s="2"/>
      <c r="C2" s="2"/>
      <c r="D2" s="2"/>
    </row>
    <row r="3" spans="1:41" x14ac:dyDescent="0.2">
      <c r="A3" s="4" t="s">
        <v>0</v>
      </c>
      <c r="B3" s="5"/>
      <c r="C3" s="5"/>
      <c r="D3" s="5"/>
      <c r="F3" s="162" t="s">
        <v>41</v>
      </c>
      <c r="G3" s="162"/>
      <c r="H3" s="162"/>
      <c r="I3" s="163" t="s">
        <v>43</v>
      </c>
      <c r="J3" s="163"/>
      <c r="K3" s="163"/>
      <c r="L3" s="162" t="s">
        <v>44</v>
      </c>
      <c r="M3" s="162"/>
      <c r="N3" s="162"/>
      <c r="O3" s="163" t="s">
        <v>45</v>
      </c>
      <c r="P3" s="163"/>
      <c r="Q3" s="163"/>
      <c r="R3" s="162" t="s">
        <v>46</v>
      </c>
      <c r="S3" s="162"/>
      <c r="T3" s="162"/>
      <c r="U3" s="163" t="s">
        <v>47</v>
      </c>
      <c r="V3" s="163"/>
      <c r="W3" s="163"/>
      <c r="X3" s="162" t="s">
        <v>48</v>
      </c>
      <c r="Y3" s="162"/>
      <c r="Z3" s="162"/>
      <c r="AA3" s="163" t="s">
        <v>49</v>
      </c>
      <c r="AB3" s="163"/>
      <c r="AC3" s="163"/>
      <c r="AD3" s="162" t="s">
        <v>50</v>
      </c>
      <c r="AE3" s="162"/>
      <c r="AF3" s="162"/>
      <c r="AG3" s="163" t="s">
        <v>52</v>
      </c>
      <c r="AH3" s="163"/>
      <c r="AI3" s="163"/>
      <c r="AJ3" s="162" t="s">
        <v>51</v>
      </c>
      <c r="AK3" s="162"/>
      <c r="AL3" s="162"/>
      <c r="AM3" s="163" t="s">
        <v>123</v>
      </c>
      <c r="AN3" s="163"/>
      <c r="AO3" s="163"/>
    </row>
    <row r="4" spans="1:41" x14ac:dyDescent="0.2">
      <c r="A4" s="6" t="s">
        <v>1</v>
      </c>
      <c r="B4" s="5"/>
      <c r="C4" s="7">
        <v>2010</v>
      </c>
      <c r="D4" s="8" t="s">
        <v>2</v>
      </c>
      <c r="F4" s="62" t="s">
        <v>42</v>
      </c>
      <c r="G4" s="63" t="s">
        <v>38</v>
      </c>
      <c r="H4" s="63" t="s">
        <v>40</v>
      </c>
      <c r="I4" s="61" t="s">
        <v>42</v>
      </c>
      <c r="J4" s="60" t="s">
        <v>38</v>
      </c>
      <c r="K4" s="60" t="s">
        <v>40</v>
      </c>
      <c r="L4" s="62" t="s">
        <v>42</v>
      </c>
      <c r="M4" s="63" t="s">
        <v>38</v>
      </c>
      <c r="N4" s="63" t="s">
        <v>40</v>
      </c>
      <c r="O4" s="61" t="s">
        <v>42</v>
      </c>
      <c r="P4" s="60" t="s">
        <v>38</v>
      </c>
      <c r="Q4" s="60" t="s">
        <v>40</v>
      </c>
      <c r="R4" s="62" t="s">
        <v>42</v>
      </c>
      <c r="S4" s="63" t="s">
        <v>38</v>
      </c>
      <c r="T4" s="63" t="s">
        <v>40</v>
      </c>
      <c r="U4" s="61" t="s">
        <v>42</v>
      </c>
      <c r="V4" s="60" t="s">
        <v>38</v>
      </c>
      <c r="W4" s="60" t="s">
        <v>40</v>
      </c>
      <c r="X4" s="62" t="s">
        <v>42</v>
      </c>
      <c r="Y4" s="63" t="s">
        <v>38</v>
      </c>
      <c r="Z4" s="63" t="s">
        <v>40</v>
      </c>
      <c r="AA4" s="61" t="s">
        <v>42</v>
      </c>
      <c r="AB4" s="60" t="s">
        <v>38</v>
      </c>
      <c r="AC4" s="60" t="s">
        <v>40</v>
      </c>
      <c r="AD4" s="62" t="s">
        <v>42</v>
      </c>
      <c r="AE4" s="63" t="s">
        <v>38</v>
      </c>
      <c r="AF4" s="63" t="s">
        <v>40</v>
      </c>
      <c r="AG4" s="61" t="s">
        <v>42</v>
      </c>
      <c r="AH4" s="60" t="s">
        <v>38</v>
      </c>
      <c r="AI4" s="60" t="s">
        <v>40</v>
      </c>
      <c r="AJ4" s="62" t="s">
        <v>42</v>
      </c>
      <c r="AK4" s="63" t="s">
        <v>38</v>
      </c>
      <c r="AL4" s="63" t="s">
        <v>40</v>
      </c>
      <c r="AM4" s="61" t="s">
        <v>42</v>
      </c>
      <c r="AN4" s="60" t="s">
        <v>38</v>
      </c>
      <c r="AO4" s="60" t="s">
        <v>40</v>
      </c>
    </row>
    <row r="5" spans="1:41" ht="17.100000000000001" customHeight="1" x14ac:dyDescent="0.25">
      <c r="A5" s="9" t="s">
        <v>3</v>
      </c>
      <c r="B5" s="10" t="s">
        <v>4</v>
      </c>
      <c r="C5" s="11"/>
      <c r="D5" s="11" t="s">
        <v>2</v>
      </c>
      <c r="F5" s="65"/>
      <c r="G5" s="65"/>
      <c r="H5" s="65"/>
      <c r="I5" s="66"/>
      <c r="J5" s="66"/>
      <c r="K5" s="66"/>
      <c r="L5" s="65"/>
      <c r="M5" s="65"/>
      <c r="N5" s="65"/>
      <c r="O5" s="66"/>
      <c r="P5" s="66"/>
      <c r="Q5" s="66"/>
      <c r="R5" s="65"/>
      <c r="S5" s="65"/>
      <c r="T5" s="65"/>
      <c r="U5" s="66"/>
      <c r="V5" s="66"/>
      <c r="W5" s="66"/>
      <c r="X5" s="65"/>
      <c r="Y5" s="65"/>
      <c r="Z5" s="65"/>
      <c r="AA5" s="66"/>
      <c r="AB5" s="66"/>
      <c r="AC5" s="66"/>
      <c r="AD5" s="65"/>
      <c r="AE5" s="65"/>
      <c r="AF5" s="65"/>
      <c r="AG5" s="66"/>
      <c r="AH5" s="66"/>
      <c r="AI5" s="66"/>
      <c r="AJ5" s="65"/>
      <c r="AK5" s="65"/>
      <c r="AL5" s="65"/>
      <c r="AM5" s="66"/>
      <c r="AN5" s="66"/>
      <c r="AO5" s="66"/>
    </row>
    <row r="6" spans="1:41" ht="9" customHeight="1" x14ac:dyDescent="0.2">
      <c r="A6" s="12"/>
      <c r="B6" s="13"/>
      <c r="C6" s="12"/>
      <c r="D6" s="12"/>
      <c r="F6" s="65"/>
      <c r="G6" s="65"/>
      <c r="H6" s="65"/>
      <c r="I6" s="66"/>
      <c r="J6" s="66"/>
      <c r="K6" s="66"/>
      <c r="L6" s="65"/>
      <c r="M6" s="65"/>
      <c r="N6" s="65"/>
      <c r="O6" s="66"/>
      <c r="P6" s="66"/>
      <c r="Q6" s="66"/>
      <c r="R6" s="65"/>
      <c r="S6" s="65"/>
      <c r="T6" s="65"/>
      <c r="U6" s="66"/>
      <c r="V6" s="66"/>
      <c r="W6" s="66"/>
      <c r="X6" s="65"/>
      <c r="Y6" s="65"/>
      <c r="Z6" s="65"/>
      <c r="AA6" s="66"/>
      <c r="AB6" s="66"/>
      <c r="AC6" s="66"/>
      <c r="AD6" s="65"/>
      <c r="AE6" s="65"/>
      <c r="AF6" s="65"/>
      <c r="AG6" s="66"/>
      <c r="AH6" s="66"/>
      <c r="AI6" s="66"/>
      <c r="AJ6" s="65"/>
      <c r="AK6" s="65"/>
      <c r="AL6" s="65"/>
      <c r="AM6" s="66"/>
      <c r="AN6" s="66"/>
      <c r="AO6" s="66"/>
    </row>
    <row r="7" spans="1:41" ht="17.25" customHeight="1" x14ac:dyDescent="0.2">
      <c r="A7" s="64" t="s">
        <v>82</v>
      </c>
      <c r="B7" s="13"/>
      <c r="C7" s="14">
        <f t="shared" ref="C7:C19" si="0">H7+K7+N7+Q7+T7+W7+Z7+AC7+AF7+AI7+AL7+AO7</f>
        <v>272655.5</v>
      </c>
      <c r="D7" s="14">
        <v>60000</v>
      </c>
      <c r="F7" s="65"/>
      <c r="G7" s="65"/>
      <c r="H7" s="65">
        <f t="shared" ref="H7:H41" si="1">F7+G7</f>
        <v>0</v>
      </c>
      <c r="I7" s="66">
        <v>35288.5</v>
      </c>
      <c r="J7" s="66"/>
      <c r="K7" s="66">
        <f t="shared" ref="K7:K41" si="2">I7+J7</f>
        <v>35288.5</v>
      </c>
      <c r="L7" s="65">
        <v>123844</v>
      </c>
      <c r="M7" s="65"/>
      <c r="N7" s="65">
        <f t="shared" ref="N7:N41" si="3">L7+M7</f>
        <v>123844</v>
      </c>
      <c r="O7" s="66">
        <v>53935</v>
      </c>
      <c r="P7" s="66"/>
      <c r="Q7" s="66">
        <f t="shared" ref="Q7:Q41" si="4">O7+P7</f>
        <v>53935</v>
      </c>
      <c r="R7" s="65">
        <v>59588</v>
      </c>
      <c r="S7" s="65"/>
      <c r="T7" s="65">
        <f t="shared" ref="T7:T41" si="5">R7+S7</f>
        <v>59588</v>
      </c>
      <c r="U7" s="66"/>
      <c r="V7" s="66"/>
      <c r="W7" s="66">
        <f t="shared" ref="W7:W41" si="6">U7+V7</f>
        <v>0</v>
      </c>
      <c r="X7" s="65"/>
      <c r="Y7" s="65"/>
      <c r="Z7" s="65">
        <f t="shared" ref="Z7:Z41" si="7">X7+Y7</f>
        <v>0</v>
      </c>
      <c r="AA7" s="66"/>
      <c r="AB7" s="66"/>
      <c r="AC7" s="66">
        <f t="shared" ref="AC7:AC41" si="8">AA7+AB7</f>
        <v>0</v>
      </c>
      <c r="AD7" s="65"/>
      <c r="AE7" s="65"/>
      <c r="AF7" s="65">
        <f t="shared" ref="AF7:AF41" si="9">AD7+AE7</f>
        <v>0</v>
      </c>
      <c r="AG7" s="66"/>
      <c r="AH7" s="66"/>
      <c r="AI7" s="66">
        <f t="shared" ref="AI7:AI41" si="10">AG7+AH7</f>
        <v>0</v>
      </c>
      <c r="AJ7" s="65"/>
      <c r="AK7" s="65"/>
      <c r="AL7" s="65">
        <f t="shared" ref="AL7:AL41" si="11">AJ7+AK7</f>
        <v>0</v>
      </c>
      <c r="AM7" s="66"/>
      <c r="AN7" s="66"/>
      <c r="AO7" s="66">
        <f t="shared" ref="AO7" si="12">AM7+AN7</f>
        <v>0</v>
      </c>
    </row>
    <row r="8" spans="1:41" ht="17.25" customHeight="1" x14ac:dyDescent="0.2">
      <c r="A8" s="64" t="s">
        <v>83</v>
      </c>
      <c r="B8" s="13"/>
      <c r="C8" s="14">
        <f t="shared" si="0"/>
        <v>75884.5</v>
      </c>
      <c r="D8" s="14"/>
      <c r="F8" s="65"/>
      <c r="G8" s="65"/>
      <c r="H8" s="65">
        <f t="shared" si="1"/>
        <v>0</v>
      </c>
      <c r="I8" s="66">
        <v>8651.5</v>
      </c>
      <c r="J8" s="66"/>
      <c r="K8" s="66">
        <f t="shared" si="2"/>
        <v>8651.5</v>
      </c>
      <c r="L8" s="65">
        <v>37109</v>
      </c>
      <c r="M8" s="65"/>
      <c r="N8" s="65">
        <f>L8+M8</f>
        <v>37109</v>
      </c>
      <c r="O8" s="66">
        <v>30124</v>
      </c>
      <c r="P8" s="66"/>
      <c r="Q8" s="66">
        <f t="shared" si="4"/>
        <v>30124</v>
      </c>
      <c r="R8" s="65"/>
      <c r="S8" s="65"/>
      <c r="T8" s="65">
        <f t="shared" si="5"/>
        <v>0</v>
      </c>
      <c r="U8" s="66"/>
      <c r="V8" s="66"/>
      <c r="W8" s="66">
        <f t="shared" si="6"/>
        <v>0</v>
      </c>
      <c r="X8" s="65"/>
      <c r="Y8" s="65"/>
      <c r="Z8" s="65">
        <f t="shared" si="7"/>
        <v>0</v>
      </c>
      <c r="AA8" s="66"/>
      <c r="AB8" s="66"/>
      <c r="AC8" s="66">
        <f t="shared" si="8"/>
        <v>0</v>
      </c>
      <c r="AD8" s="65"/>
      <c r="AE8" s="65"/>
      <c r="AF8" s="65"/>
      <c r="AG8" s="66"/>
      <c r="AH8" s="66"/>
      <c r="AI8" s="66"/>
      <c r="AJ8" s="65"/>
      <c r="AK8" s="65"/>
      <c r="AL8" s="65"/>
      <c r="AM8" s="66"/>
      <c r="AN8" s="66"/>
      <c r="AO8" s="66"/>
    </row>
    <row r="9" spans="1:41" ht="17.25" customHeight="1" x14ac:dyDescent="0.2">
      <c r="A9" s="64" t="s">
        <v>84</v>
      </c>
      <c r="B9" s="13"/>
      <c r="C9" s="14">
        <f t="shared" si="0"/>
        <v>157239</v>
      </c>
      <c r="D9" s="14"/>
      <c r="F9" s="65"/>
      <c r="G9" s="65"/>
      <c r="H9" s="65">
        <f t="shared" si="1"/>
        <v>0</v>
      </c>
      <c r="I9" s="66">
        <f>47630</f>
        <v>47630</v>
      </c>
      <c r="J9" s="66"/>
      <c r="K9" s="66">
        <f t="shared" si="2"/>
        <v>47630</v>
      </c>
      <c r="L9" s="65"/>
      <c r="M9" s="65"/>
      <c r="N9" s="65">
        <f>L9+M9</f>
        <v>0</v>
      </c>
      <c r="O9" s="66">
        <f>25409+84200</f>
        <v>109609</v>
      </c>
      <c r="P9" s="66"/>
      <c r="Q9" s="66">
        <f t="shared" si="4"/>
        <v>109609</v>
      </c>
      <c r="R9" s="65"/>
      <c r="S9" s="65"/>
      <c r="T9" s="65">
        <f t="shared" si="5"/>
        <v>0</v>
      </c>
      <c r="U9" s="66"/>
      <c r="V9" s="66"/>
      <c r="W9" s="66">
        <f t="shared" si="6"/>
        <v>0</v>
      </c>
      <c r="X9" s="65"/>
      <c r="Y9" s="65"/>
      <c r="Z9" s="65">
        <f t="shared" si="7"/>
        <v>0</v>
      </c>
      <c r="AA9" s="66"/>
      <c r="AB9" s="66"/>
      <c r="AC9" s="66">
        <f t="shared" si="8"/>
        <v>0</v>
      </c>
      <c r="AD9" s="65"/>
      <c r="AE9" s="65"/>
      <c r="AF9" s="65"/>
      <c r="AG9" s="66"/>
      <c r="AH9" s="66"/>
      <c r="AI9" s="66"/>
      <c r="AJ9" s="65"/>
      <c r="AK9" s="65"/>
      <c r="AL9" s="65"/>
      <c r="AM9" s="66"/>
      <c r="AN9" s="66"/>
      <c r="AO9" s="66"/>
    </row>
    <row r="10" spans="1:41" ht="17.25" customHeight="1" x14ac:dyDescent="0.2">
      <c r="A10" s="64" t="s">
        <v>86</v>
      </c>
      <c r="B10" s="13"/>
      <c r="C10" s="14">
        <f t="shared" si="0"/>
        <v>869642.5</v>
      </c>
      <c r="D10" s="14"/>
      <c r="F10" s="65"/>
      <c r="G10" s="65"/>
      <c r="H10" s="65">
        <f t="shared" si="1"/>
        <v>0</v>
      </c>
      <c r="I10" s="66">
        <f>48450+50432.5</f>
        <v>98882.5</v>
      </c>
      <c r="J10" s="66"/>
      <c r="K10" s="66">
        <f t="shared" si="2"/>
        <v>98882.5</v>
      </c>
      <c r="L10" s="65">
        <f>186960+422400+6000</f>
        <v>615360</v>
      </c>
      <c r="M10" s="65"/>
      <c r="N10" s="65">
        <f>L10+M10</f>
        <v>615360</v>
      </c>
      <c r="O10" s="66">
        <f>23500</f>
        <v>23500</v>
      </c>
      <c r="P10" s="66"/>
      <c r="Q10" s="66">
        <f t="shared" si="4"/>
        <v>23500</v>
      </c>
      <c r="R10" s="65">
        <f>24200+90600+17100</f>
        <v>131900</v>
      </c>
      <c r="S10" s="65"/>
      <c r="T10" s="65">
        <f t="shared" si="5"/>
        <v>131900</v>
      </c>
      <c r="U10" s="66"/>
      <c r="V10" s="66"/>
      <c r="W10" s="66">
        <f t="shared" si="6"/>
        <v>0</v>
      </c>
      <c r="X10" s="65"/>
      <c r="Y10" s="65"/>
      <c r="Z10" s="65">
        <f t="shared" si="7"/>
        <v>0</v>
      </c>
      <c r="AA10" s="66"/>
      <c r="AB10" s="66"/>
      <c r="AC10" s="66">
        <f t="shared" si="8"/>
        <v>0</v>
      </c>
      <c r="AD10" s="65"/>
      <c r="AE10" s="65"/>
      <c r="AF10" s="65"/>
      <c r="AG10" s="66"/>
      <c r="AH10" s="66"/>
      <c r="AI10" s="66"/>
      <c r="AJ10" s="65"/>
      <c r="AK10" s="65"/>
      <c r="AL10" s="65"/>
      <c r="AM10" s="66"/>
      <c r="AN10" s="66"/>
      <c r="AO10" s="66"/>
    </row>
    <row r="11" spans="1:41" ht="17.25" customHeight="1" x14ac:dyDescent="0.2">
      <c r="A11" s="64" t="s">
        <v>88</v>
      </c>
      <c r="B11" s="13"/>
      <c r="C11" s="14">
        <f t="shared" si="0"/>
        <v>138600</v>
      </c>
      <c r="D11" s="14"/>
      <c r="F11" s="65">
        <v>138600</v>
      </c>
      <c r="G11" s="65"/>
      <c r="H11" s="65">
        <f t="shared" si="1"/>
        <v>138600</v>
      </c>
      <c r="I11" s="66"/>
      <c r="J11" s="66"/>
      <c r="K11" s="66">
        <f t="shared" si="2"/>
        <v>0</v>
      </c>
      <c r="L11" s="65"/>
      <c r="M11" s="65"/>
      <c r="N11" s="65">
        <f t="shared" si="3"/>
        <v>0</v>
      </c>
      <c r="O11" s="66"/>
      <c r="P11" s="66"/>
      <c r="Q11" s="66">
        <f t="shared" si="4"/>
        <v>0</v>
      </c>
      <c r="R11" s="65"/>
      <c r="S11" s="65"/>
      <c r="T11" s="65">
        <f t="shared" si="5"/>
        <v>0</v>
      </c>
      <c r="U11" s="66"/>
      <c r="V11" s="66"/>
      <c r="W11" s="66">
        <f t="shared" si="6"/>
        <v>0</v>
      </c>
      <c r="X11" s="65"/>
      <c r="Y11" s="65"/>
      <c r="Z11" s="65">
        <f t="shared" si="7"/>
        <v>0</v>
      </c>
      <c r="AA11" s="66"/>
      <c r="AB11" s="66"/>
      <c r="AC11" s="66">
        <f t="shared" si="8"/>
        <v>0</v>
      </c>
      <c r="AD11" s="65"/>
      <c r="AE11" s="65"/>
      <c r="AF11" s="65">
        <f t="shared" si="9"/>
        <v>0</v>
      </c>
      <c r="AG11" s="66"/>
      <c r="AH11" s="66"/>
      <c r="AI11" s="66">
        <f t="shared" si="10"/>
        <v>0</v>
      </c>
      <c r="AJ11" s="65"/>
      <c r="AK11" s="65"/>
      <c r="AL11" s="65">
        <f t="shared" si="11"/>
        <v>0</v>
      </c>
      <c r="AM11" s="66"/>
      <c r="AN11" s="66"/>
      <c r="AO11" s="66">
        <f t="shared" ref="AO11" si="13">AM11+AN11</f>
        <v>0</v>
      </c>
    </row>
    <row r="12" spans="1:41" ht="17.25" customHeight="1" x14ac:dyDescent="0.2">
      <c r="A12" s="64" t="s">
        <v>58</v>
      </c>
      <c r="B12" s="13"/>
      <c r="C12" s="14">
        <f t="shared" si="0"/>
        <v>90937</v>
      </c>
      <c r="D12" s="14"/>
      <c r="F12" s="65">
        <v>90937</v>
      </c>
      <c r="G12" s="65"/>
      <c r="H12" s="65">
        <f t="shared" si="1"/>
        <v>90937</v>
      </c>
      <c r="I12" s="66"/>
      <c r="J12" s="66"/>
      <c r="K12" s="66">
        <f t="shared" si="2"/>
        <v>0</v>
      </c>
      <c r="L12" s="65"/>
      <c r="M12" s="65"/>
      <c r="N12" s="65">
        <f>L12+M12</f>
        <v>0</v>
      </c>
      <c r="O12" s="66"/>
      <c r="P12" s="66"/>
      <c r="Q12" s="66">
        <f t="shared" si="4"/>
        <v>0</v>
      </c>
      <c r="R12" s="65"/>
      <c r="S12" s="65"/>
      <c r="T12" s="65">
        <f t="shared" si="5"/>
        <v>0</v>
      </c>
      <c r="U12" s="66"/>
      <c r="V12" s="66"/>
      <c r="W12" s="66">
        <f t="shared" si="6"/>
        <v>0</v>
      </c>
      <c r="X12" s="65"/>
      <c r="Y12" s="65"/>
      <c r="Z12" s="65">
        <f t="shared" si="7"/>
        <v>0</v>
      </c>
      <c r="AA12" s="66"/>
      <c r="AB12" s="66"/>
      <c r="AC12" s="66">
        <f t="shared" si="8"/>
        <v>0</v>
      </c>
      <c r="AD12" s="65"/>
      <c r="AE12" s="65"/>
      <c r="AF12" s="65"/>
      <c r="AG12" s="66"/>
      <c r="AH12" s="66"/>
      <c r="AI12" s="66"/>
      <c r="AJ12" s="65"/>
      <c r="AK12" s="65"/>
      <c r="AL12" s="65"/>
      <c r="AM12" s="66"/>
      <c r="AN12" s="66"/>
      <c r="AO12" s="66"/>
    </row>
    <row r="13" spans="1:41" ht="17.25" customHeight="1" x14ac:dyDescent="0.2">
      <c r="A13" s="64" t="s">
        <v>59</v>
      </c>
      <c r="B13" s="13"/>
      <c r="C13" s="14">
        <f t="shared" si="0"/>
        <v>0</v>
      </c>
      <c r="D13" s="14"/>
      <c r="F13" s="65">
        <v>90147</v>
      </c>
      <c r="G13" s="65">
        <v>-90147</v>
      </c>
      <c r="H13" s="65">
        <f t="shared" si="1"/>
        <v>0</v>
      </c>
      <c r="I13" s="66">
        <v>430000</v>
      </c>
      <c r="J13" s="66">
        <v>-430000</v>
      </c>
      <c r="K13" s="66">
        <f t="shared" si="2"/>
        <v>0</v>
      </c>
      <c r="L13" s="65"/>
      <c r="M13" s="65"/>
      <c r="N13" s="65">
        <f t="shared" si="3"/>
        <v>0</v>
      </c>
      <c r="O13" s="69">
        <f>100000+45000</f>
        <v>145000</v>
      </c>
      <c r="P13" s="66">
        <f>-100000-45000</f>
        <v>-145000</v>
      </c>
      <c r="Q13" s="66">
        <f t="shared" si="4"/>
        <v>0</v>
      </c>
      <c r="R13" s="65"/>
      <c r="S13" s="65"/>
      <c r="T13" s="65">
        <f t="shared" si="5"/>
        <v>0</v>
      </c>
      <c r="U13" s="66"/>
      <c r="V13" s="66"/>
      <c r="W13" s="66">
        <f t="shared" si="6"/>
        <v>0</v>
      </c>
      <c r="X13" s="65"/>
      <c r="Y13" s="65"/>
      <c r="Z13" s="65">
        <f t="shared" si="7"/>
        <v>0</v>
      </c>
      <c r="AA13" s="66"/>
      <c r="AB13" s="66"/>
      <c r="AC13" s="66">
        <f t="shared" si="8"/>
        <v>0</v>
      </c>
      <c r="AD13" s="65"/>
      <c r="AE13" s="65"/>
      <c r="AF13" s="65">
        <f t="shared" si="9"/>
        <v>0</v>
      </c>
      <c r="AG13" s="66"/>
      <c r="AH13" s="66"/>
      <c r="AI13" s="66">
        <f t="shared" si="10"/>
        <v>0</v>
      </c>
      <c r="AJ13" s="65"/>
      <c r="AK13" s="65"/>
      <c r="AL13" s="65">
        <f t="shared" si="11"/>
        <v>0</v>
      </c>
      <c r="AM13" s="66"/>
      <c r="AN13" s="66"/>
      <c r="AO13" s="66">
        <f t="shared" ref="AO13:AO21" si="14">AM13+AN13</f>
        <v>0</v>
      </c>
    </row>
    <row r="14" spans="1:41" ht="17.25" customHeight="1" x14ac:dyDescent="0.2">
      <c r="A14" s="64" t="s">
        <v>87</v>
      </c>
      <c r="B14" s="13"/>
      <c r="C14" s="14">
        <f t="shared" si="0"/>
        <v>27225</v>
      </c>
      <c r="D14" s="14">
        <v>80000</v>
      </c>
      <c r="F14" s="65">
        <v>27225</v>
      </c>
      <c r="G14" s="65"/>
      <c r="H14" s="65">
        <f t="shared" si="1"/>
        <v>27225</v>
      </c>
      <c r="I14" s="66"/>
      <c r="J14" s="66"/>
      <c r="K14" s="66">
        <f t="shared" si="2"/>
        <v>0</v>
      </c>
      <c r="L14" s="65"/>
      <c r="M14" s="65"/>
      <c r="N14" s="65">
        <f t="shared" si="3"/>
        <v>0</v>
      </c>
      <c r="O14" s="66"/>
      <c r="P14" s="66"/>
      <c r="Q14" s="66">
        <f t="shared" si="4"/>
        <v>0</v>
      </c>
      <c r="R14" s="65"/>
      <c r="S14" s="65"/>
      <c r="T14" s="65">
        <f t="shared" si="5"/>
        <v>0</v>
      </c>
      <c r="U14" s="66"/>
      <c r="V14" s="66"/>
      <c r="W14" s="66">
        <f t="shared" si="6"/>
        <v>0</v>
      </c>
      <c r="X14" s="65"/>
      <c r="Y14" s="65"/>
      <c r="Z14" s="65">
        <f t="shared" si="7"/>
        <v>0</v>
      </c>
      <c r="AA14" s="66"/>
      <c r="AB14" s="66"/>
      <c r="AC14" s="66">
        <f t="shared" si="8"/>
        <v>0</v>
      </c>
      <c r="AD14" s="65"/>
      <c r="AE14" s="65"/>
      <c r="AF14" s="65">
        <f t="shared" si="9"/>
        <v>0</v>
      </c>
      <c r="AG14" s="66"/>
      <c r="AH14" s="66"/>
      <c r="AI14" s="66">
        <f t="shared" si="10"/>
        <v>0</v>
      </c>
      <c r="AJ14" s="65"/>
      <c r="AK14" s="65"/>
      <c r="AL14" s="65">
        <f t="shared" si="11"/>
        <v>0</v>
      </c>
      <c r="AM14" s="66"/>
      <c r="AN14" s="66"/>
      <c r="AO14" s="66">
        <f t="shared" si="14"/>
        <v>0</v>
      </c>
    </row>
    <row r="15" spans="1:41" ht="17.25" customHeight="1" x14ac:dyDescent="0.2">
      <c r="A15" s="64" t="s">
        <v>53</v>
      </c>
      <c r="B15" s="13"/>
      <c r="C15" s="14">
        <f t="shared" si="0"/>
        <v>294350</v>
      </c>
      <c r="D15" s="14">
        <v>45000</v>
      </c>
      <c r="F15" s="65"/>
      <c r="G15" s="65"/>
      <c r="H15" s="65">
        <f t="shared" si="1"/>
        <v>0</v>
      </c>
      <c r="I15" s="66">
        <v>176400</v>
      </c>
      <c r="J15" s="66"/>
      <c r="K15" s="66">
        <f t="shared" si="2"/>
        <v>176400</v>
      </c>
      <c r="L15" s="65"/>
      <c r="M15" s="65"/>
      <c r="N15" s="65">
        <f t="shared" si="3"/>
        <v>0</v>
      </c>
      <c r="O15" s="66">
        <v>81150</v>
      </c>
      <c r="P15" s="66"/>
      <c r="Q15" s="66">
        <f t="shared" si="4"/>
        <v>81150</v>
      </c>
      <c r="R15" s="65"/>
      <c r="S15" s="65"/>
      <c r="T15" s="65">
        <f t="shared" si="5"/>
        <v>0</v>
      </c>
      <c r="U15" s="66">
        <v>30500</v>
      </c>
      <c r="V15" s="66"/>
      <c r="W15" s="66">
        <f t="shared" si="6"/>
        <v>30500</v>
      </c>
      <c r="X15" s="65">
        <v>4600</v>
      </c>
      <c r="Y15" s="65"/>
      <c r="Z15" s="65">
        <f t="shared" si="7"/>
        <v>4600</v>
      </c>
      <c r="AA15" s="66">
        <v>1700</v>
      </c>
      <c r="AB15" s="66"/>
      <c r="AC15" s="66">
        <f t="shared" si="8"/>
        <v>1700</v>
      </c>
      <c r="AD15" s="65"/>
      <c r="AE15" s="65"/>
      <c r="AF15" s="65">
        <f t="shared" si="9"/>
        <v>0</v>
      </c>
      <c r="AG15" s="66"/>
      <c r="AH15" s="66"/>
      <c r="AI15" s="66">
        <f t="shared" si="10"/>
        <v>0</v>
      </c>
      <c r="AJ15" s="65"/>
      <c r="AK15" s="65"/>
      <c r="AL15" s="65">
        <f t="shared" si="11"/>
        <v>0</v>
      </c>
      <c r="AM15" s="66"/>
      <c r="AN15" s="66"/>
      <c r="AO15" s="66">
        <f t="shared" si="14"/>
        <v>0</v>
      </c>
    </row>
    <row r="16" spans="1:41" ht="17.25" customHeight="1" x14ac:dyDescent="0.2">
      <c r="A16" s="64" t="s">
        <v>54</v>
      </c>
      <c r="B16" s="13"/>
      <c r="C16" s="14">
        <f t="shared" si="0"/>
        <v>334350</v>
      </c>
      <c r="D16" s="14">
        <v>3000</v>
      </c>
      <c r="F16" s="65">
        <f>57000+66500</f>
        <v>123500</v>
      </c>
      <c r="G16" s="65"/>
      <c r="H16" s="65">
        <f t="shared" si="1"/>
        <v>123500</v>
      </c>
      <c r="I16" s="66">
        <f>32000+15000</f>
        <v>47000</v>
      </c>
      <c r="J16" s="66"/>
      <c r="K16" s="66">
        <f t="shared" si="2"/>
        <v>47000</v>
      </c>
      <c r="L16" s="65">
        <f>45350+45000</f>
        <v>90350</v>
      </c>
      <c r="M16" s="65"/>
      <c r="N16" s="65">
        <f t="shared" si="3"/>
        <v>90350</v>
      </c>
      <c r="O16" s="66">
        <v>46000</v>
      </c>
      <c r="P16" s="66"/>
      <c r="Q16" s="66">
        <f t="shared" si="4"/>
        <v>46000</v>
      </c>
      <c r="R16" s="65">
        <f>10000+17500</f>
        <v>27500</v>
      </c>
      <c r="S16" s="65"/>
      <c r="T16" s="65">
        <f t="shared" si="5"/>
        <v>27500</v>
      </c>
      <c r="U16" s="66"/>
      <c r="V16" s="66"/>
      <c r="W16" s="66">
        <f t="shared" si="6"/>
        <v>0</v>
      </c>
      <c r="X16" s="65"/>
      <c r="Y16" s="65"/>
      <c r="Z16" s="65">
        <f t="shared" si="7"/>
        <v>0</v>
      </c>
      <c r="AA16" s="66"/>
      <c r="AB16" s="66"/>
      <c r="AC16" s="66">
        <f t="shared" si="8"/>
        <v>0</v>
      </c>
      <c r="AD16" s="65"/>
      <c r="AE16" s="65"/>
      <c r="AF16" s="65">
        <f t="shared" si="9"/>
        <v>0</v>
      </c>
      <c r="AG16" s="66"/>
      <c r="AH16" s="66"/>
      <c r="AI16" s="66">
        <f t="shared" si="10"/>
        <v>0</v>
      </c>
      <c r="AJ16" s="65"/>
      <c r="AK16" s="65"/>
      <c r="AL16" s="65">
        <f t="shared" si="11"/>
        <v>0</v>
      </c>
      <c r="AM16" s="66"/>
      <c r="AN16" s="66"/>
      <c r="AO16" s="66">
        <f t="shared" si="14"/>
        <v>0</v>
      </c>
    </row>
    <row r="17" spans="1:41" ht="17.25" customHeight="1" x14ac:dyDescent="0.2">
      <c r="A17" s="64" t="s">
        <v>85</v>
      </c>
      <c r="B17" s="13"/>
      <c r="C17" s="14">
        <f t="shared" si="0"/>
        <v>119499</v>
      </c>
      <c r="D17" s="14">
        <v>32000</v>
      </c>
      <c r="F17" s="65"/>
      <c r="G17" s="65"/>
      <c r="H17" s="65">
        <f t="shared" si="1"/>
        <v>0</v>
      </c>
      <c r="I17" s="66">
        <v>2200</v>
      </c>
      <c r="J17" s="66"/>
      <c r="K17" s="66">
        <f t="shared" si="2"/>
        <v>2200</v>
      </c>
      <c r="L17" s="65"/>
      <c r="M17" s="65"/>
      <c r="N17" s="65">
        <f t="shared" si="3"/>
        <v>0</v>
      </c>
      <c r="O17" s="66">
        <f>106540+10759</f>
        <v>117299</v>
      </c>
      <c r="P17" s="66"/>
      <c r="Q17" s="66">
        <f t="shared" si="4"/>
        <v>117299</v>
      </c>
      <c r="R17" s="65"/>
      <c r="S17" s="65"/>
      <c r="T17" s="65">
        <f t="shared" si="5"/>
        <v>0</v>
      </c>
      <c r="U17" s="66"/>
      <c r="V17" s="66"/>
      <c r="W17" s="66">
        <f t="shared" si="6"/>
        <v>0</v>
      </c>
      <c r="X17" s="65"/>
      <c r="Y17" s="65"/>
      <c r="Z17" s="65">
        <f t="shared" si="7"/>
        <v>0</v>
      </c>
      <c r="AA17" s="66"/>
      <c r="AB17" s="66"/>
      <c r="AC17" s="66">
        <f t="shared" si="8"/>
        <v>0</v>
      </c>
      <c r="AD17" s="65"/>
      <c r="AE17" s="65"/>
      <c r="AF17" s="65">
        <f t="shared" si="9"/>
        <v>0</v>
      </c>
      <c r="AG17" s="66"/>
      <c r="AH17" s="66"/>
      <c r="AI17" s="66">
        <f t="shared" si="10"/>
        <v>0</v>
      </c>
      <c r="AJ17" s="65"/>
      <c r="AK17" s="65"/>
      <c r="AL17" s="65">
        <f t="shared" si="11"/>
        <v>0</v>
      </c>
      <c r="AM17" s="66"/>
      <c r="AN17" s="66"/>
      <c r="AO17" s="66">
        <f t="shared" si="14"/>
        <v>0</v>
      </c>
    </row>
    <row r="18" spans="1:41" ht="17.25" customHeight="1" x14ac:dyDescent="0.2">
      <c r="A18" s="64" t="s">
        <v>56</v>
      </c>
      <c r="B18" s="13"/>
      <c r="C18" s="14">
        <f t="shared" si="0"/>
        <v>219976.5</v>
      </c>
      <c r="D18" s="14">
        <v>70000</v>
      </c>
      <c r="F18" s="65">
        <v>219976.5</v>
      </c>
      <c r="G18" s="65"/>
      <c r="H18" s="65">
        <f t="shared" si="1"/>
        <v>219976.5</v>
      </c>
      <c r="I18" s="66"/>
      <c r="J18" s="66"/>
      <c r="K18" s="66">
        <f t="shared" si="2"/>
        <v>0</v>
      </c>
      <c r="L18" s="65"/>
      <c r="M18" s="65"/>
      <c r="N18" s="65">
        <f t="shared" si="3"/>
        <v>0</v>
      </c>
      <c r="O18" s="66"/>
      <c r="P18" s="66"/>
      <c r="Q18" s="66">
        <f t="shared" si="4"/>
        <v>0</v>
      </c>
      <c r="R18" s="65"/>
      <c r="S18" s="65"/>
      <c r="T18" s="65">
        <f t="shared" si="5"/>
        <v>0</v>
      </c>
      <c r="U18" s="66"/>
      <c r="V18" s="66"/>
      <c r="W18" s="66">
        <f t="shared" si="6"/>
        <v>0</v>
      </c>
      <c r="X18" s="65"/>
      <c r="Y18" s="65"/>
      <c r="Z18" s="65">
        <f t="shared" si="7"/>
        <v>0</v>
      </c>
      <c r="AA18" s="66"/>
      <c r="AB18" s="66"/>
      <c r="AC18" s="66">
        <f t="shared" si="8"/>
        <v>0</v>
      </c>
      <c r="AD18" s="65"/>
      <c r="AE18" s="65"/>
      <c r="AF18" s="65">
        <f t="shared" si="9"/>
        <v>0</v>
      </c>
      <c r="AG18" s="66"/>
      <c r="AH18" s="66"/>
      <c r="AI18" s="66">
        <f t="shared" si="10"/>
        <v>0</v>
      </c>
      <c r="AJ18" s="65"/>
      <c r="AK18" s="65"/>
      <c r="AL18" s="65">
        <f t="shared" si="11"/>
        <v>0</v>
      </c>
      <c r="AM18" s="66"/>
      <c r="AN18" s="66"/>
      <c r="AO18" s="66">
        <f t="shared" si="14"/>
        <v>0</v>
      </c>
    </row>
    <row r="19" spans="1:41" ht="17.25" customHeight="1" x14ac:dyDescent="0.2">
      <c r="A19" s="64" t="s">
        <v>57</v>
      </c>
      <c r="B19" s="13"/>
      <c r="C19" s="14">
        <f t="shared" si="0"/>
        <v>26299.279999999999</v>
      </c>
      <c r="D19" s="14">
        <v>70000</v>
      </c>
      <c r="F19" s="65">
        <v>26299.279999999999</v>
      </c>
      <c r="G19" s="65"/>
      <c r="H19" s="65">
        <f t="shared" si="1"/>
        <v>26299.279999999999</v>
      </c>
      <c r="I19" s="66"/>
      <c r="J19" s="66"/>
      <c r="K19" s="66">
        <f t="shared" si="2"/>
        <v>0</v>
      </c>
      <c r="L19" s="65"/>
      <c r="M19" s="65"/>
      <c r="N19" s="65">
        <f t="shared" si="3"/>
        <v>0</v>
      </c>
      <c r="O19" s="66"/>
      <c r="P19" s="66"/>
      <c r="Q19" s="66">
        <f t="shared" si="4"/>
        <v>0</v>
      </c>
      <c r="R19" s="65"/>
      <c r="S19" s="65"/>
      <c r="T19" s="65">
        <f t="shared" si="5"/>
        <v>0</v>
      </c>
      <c r="U19" s="66"/>
      <c r="V19" s="66"/>
      <c r="W19" s="66">
        <f t="shared" si="6"/>
        <v>0</v>
      </c>
      <c r="X19" s="65"/>
      <c r="Y19" s="65"/>
      <c r="Z19" s="65">
        <f t="shared" si="7"/>
        <v>0</v>
      </c>
      <c r="AA19" s="66"/>
      <c r="AB19" s="66"/>
      <c r="AC19" s="66">
        <f t="shared" si="8"/>
        <v>0</v>
      </c>
      <c r="AD19" s="65"/>
      <c r="AE19" s="65"/>
      <c r="AF19" s="65">
        <f t="shared" si="9"/>
        <v>0</v>
      </c>
      <c r="AG19" s="66"/>
      <c r="AH19" s="66"/>
      <c r="AI19" s="66">
        <f t="shared" si="10"/>
        <v>0</v>
      </c>
      <c r="AJ19" s="65"/>
      <c r="AK19" s="65"/>
      <c r="AL19" s="65">
        <f t="shared" si="11"/>
        <v>0</v>
      </c>
      <c r="AM19" s="66"/>
      <c r="AN19" s="66"/>
      <c r="AO19" s="66">
        <f t="shared" si="14"/>
        <v>0</v>
      </c>
    </row>
    <row r="20" spans="1:41" ht="17.25" customHeight="1" x14ac:dyDescent="0.2">
      <c r="A20" s="12" t="s">
        <v>124</v>
      </c>
      <c r="B20" s="13"/>
      <c r="C20" s="14">
        <v>0</v>
      </c>
      <c r="D20" s="14"/>
      <c r="F20" s="65"/>
      <c r="G20" s="65"/>
      <c r="H20" s="65"/>
      <c r="I20" s="66"/>
      <c r="J20" s="66"/>
      <c r="K20" s="66"/>
      <c r="L20" s="65"/>
      <c r="M20" s="65"/>
      <c r="N20" s="65"/>
      <c r="O20" s="66"/>
      <c r="P20" s="66"/>
      <c r="Q20" s="66"/>
      <c r="R20" s="65"/>
      <c r="S20" s="65"/>
      <c r="T20" s="65"/>
      <c r="U20" s="66"/>
      <c r="V20" s="66"/>
      <c r="W20" s="66"/>
      <c r="X20" s="65"/>
      <c r="Y20" s="65"/>
      <c r="Z20" s="65"/>
      <c r="AA20" s="66"/>
      <c r="AB20" s="66"/>
      <c r="AC20" s="66"/>
      <c r="AD20" s="65"/>
      <c r="AE20" s="65"/>
      <c r="AF20" s="65"/>
      <c r="AG20" s="66"/>
      <c r="AH20" s="66"/>
      <c r="AI20" s="66"/>
      <c r="AJ20" s="65"/>
      <c r="AK20" s="65"/>
      <c r="AL20" s="65"/>
      <c r="AM20" s="66"/>
      <c r="AN20" s="66"/>
      <c r="AO20" s="66"/>
    </row>
    <row r="21" spans="1:41" ht="17.25" customHeight="1" x14ac:dyDescent="0.2">
      <c r="A21" s="64" t="s">
        <v>55</v>
      </c>
      <c r="B21" s="13"/>
      <c r="C21" s="14">
        <f>H21+K21+N21+Q21+T21+W21+Z21+AC21+AF21+AI21+AL21+AO21</f>
        <v>34490</v>
      </c>
      <c r="D21" s="14">
        <v>20000</v>
      </c>
      <c r="F21" s="65">
        <v>1640</v>
      </c>
      <c r="G21" s="65"/>
      <c r="H21" s="65">
        <f t="shared" si="1"/>
        <v>1640</v>
      </c>
      <c r="I21" s="66"/>
      <c r="J21" s="66"/>
      <c r="K21" s="66">
        <f t="shared" si="2"/>
        <v>0</v>
      </c>
      <c r="L21" s="65"/>
      <c r="M21" s="65"/>
      <c r="N21" s="65">
        <f t="shared" si="3"/>
        <v>0</v>
      </c>
      <c r="O21" s="69">
        <f>24800+8050</f>
        <v>32850</v>
      </c>
      <c r="P21" s="66"/>
      <c r="Q21" s="66">
        <f t="shared" si="4"/>
        <v>32850</v>
      </c>
      <c r="R21" s="65"/>
      <c r="S21" s="65"/>
      <c r="T21" s="65">
        <f t="shared" si="5"/>
        <v>0</v>
      </c>
      <c r="U21" s="66"/>
      <c r="V21" s="66"/>
      <c r="W21" s="66">
        <f t="shared" si="6"/>
        <v>0</v>
      </c>
      <c r="X21" s="65"/>
      <c r="Y21" s="65"/>
      <c r="Z21" s="65">
        <f t="shared" si="7"/>
        <v>0</v>
      </c>
      <c r="AA21" s="66"/>
      <c r="AB21" s="66"/>
      <c r="AC21" s="66">
        <f t="shared" si="8"/>
        <v>0</v>
      </c>
      <c r="AD21" s="65"/>
      <c r="AE21" s="65"/>
      <c r="AF21" s="65">
        <f t="shared" si="9"/>
        <v>0</v>
      </c>
      <c r="AG21" s="66"/>
      <c r="AH21" s="66"/>
      <c r="AI21" s="66">
        <f t="shared" si="10"/>
        <v>0</v>
      </c>
      <c r="AJ21" s="65"/>
      <c r="AK21" s="65"/>
      <c r="AL21" s="65">
        <f t="shared" si="11"/>
        <v>0</v>
      </c>
      <c r="AM21" s="66"/>
      <c r="AN21" s="66"/>
      <c r="AO21" s="66">
        <f t="shared" si="14"/>
        <v>0</v>
      </c>
    </row>
    <row r="22" spans="1:41" ht="17.25" x14ac:dyDescent="0.3">
      <c r="A22" s="4" t="s">
        <v>5</v>
      </c>
      <c r="B22" s="16"/>
      <c r="C22" s="17">
        <f>SUM(C7:C21)</f>
        <v>2661148.2799999998</v>
      </c>
      <c r="D22" s="17">
        <f>SUM(D7:D21)</f>
        <v>380000</v>
      </c>
      <c r="F22" s="67">
        <f>SUM(F7:F21)-1</f>
        <v>718323.78</v>
      </c>
      <c r="G22" s="67">
        <f t="shared" ref="G22:AL22" si="15">SUM(G7:G21)</f>
        <v>-90147</v>
      </c>
      <c r="H22" s="67">
        <f t="shared" si="15"/>
        <v>628177.78</v>
      </c>
      <c r="I22" s="67">
        <f t="shared" si="15"/>
        <v>846052.5</v>
      </c>
      <c r="J22" s="67">
        <f t="shared" si="15"/>
        <v>-430000</v>
      </c>
      <c r="K22" s="67">
        <f t="shared" si="15"/>
        <v>416052.5</v>
      </c>
      <c r="L22" s="67">
        <f t="shared" si="15"/>
        <v>866663</v>
      </c>
      <c r="M22" s="67">
        <f t="shared" si="15"/>
        <v>0</v>
      </c>
      <c r="N22" s="67">
        <f t="shared" si="15"/>
        <v>866663</v>
      </c>
      <c r="O22" s="67">
        <f t="shared" si="15"/>
        <v>639467</v>
      </c>
      <c r="P22" s="67">
        <f t="shared" si="15"/>
        <v>-145000</v>
      </c>
      <c r="Q22" s="67">
        <f t="shared" si="15"/>
        <v>494467</v>
      </c>
      <c r="R22" s="67">
        <f t="shared" si="15"/>
        <v>218988</v>
      </c>
      <c r="S22" s="67">
        <f t="shared" si="15"/>
        <v>0</v>
      </c>
      <c r="T22" s="67">
        <f t="shared" si="15"/>
        <v>218988</v>
      </c>
      <c r="U22" s="67">
        <f t="shared" si="15"/>
        <v>30500</v>
      </c>
      <c r="V22" s="67">
        <f t="shared" si="15"/>
        <v>0</v>
      </c>
      <c r="W22" s="67">
        <f t="shared" si="15"/>
        <v>30500</v>
      </c>
      <c r="X22" s="67">
        <f t="shared" si="15"/>
        <v>4600</v>
      </c>
      <c r="Y22" s="67">
        <f t="shared" si="15"/>
        <v>0</v>
      </c>
      <c r="Z22" s="67">
        <f t="shared" si="15"/>
        <v>4600</v>
      </c>
      <c r="AA22" s="67">
        <f t="shared" si="15"/>
        <v>1700</v>
      </c>
      <c r="AB22" s="67">
        <f t="shared" si="15"/>
        <v>0</v>
      </c>
      <c r="AC22" s="67">
        <f t="shared" si="15"/>
        <v>1700</v>
      </c>
      <c r="AD22" s="67">
        <f t="shared" si="15"/>
        <v>0</v>
      </c>
      <c r="AE22" s="67">
        <f t="shared" si="15"/>
        <v>0</v>
      </c>
      <c r="AF22" s="67">
        <f t="shared" si="15"/>
        <v>0</v>
      </c>
      <c r="AG22" s="67">
        <f t="shared" si="15"/>
        <v>0</v>
      </c>
      <c r="AH22" s="67">
        <f t="shared" si="15"/>
        <v>0</v>
      </c>
      <c r="AI22" s="67">
        <f t="shared" si="15"/>
        <v>0</v>
      </c>
      <c r="AJ22" s="67">
        <f t="shared" si="15"/>
        <v>0</v>
      </c>
      <c r="AK22" s="67">
        <f t="shared" si="15"/>
        <v>0</v>
      </c>
      <c r="AL22" s="67">
        <f t="shared" si="15"/>
        <v>0</v>
      </c>
      <c r="AM22" s="67">
        <f t="shared" ref="AM22:AO22" si="16">SUM(AM7:AM21)</f>
        <v>0</v>
      </c>
      <c r="AN22" s="67">
        <f t="shared" si="16"/>
        <v>0</v>
      </c>
      <c r="AO22" s="67">
        <f t="shared" si="16"/>
        <v>0</v>
      </c>
    </row>
    <row r="23" spans="1:41" ht="21.95" customHeight="1" x14ac:dyDescent="0.3">
      <c r="A23" s="15"/>
      <c r="B23" s="16"/>
      <c r="C23" s="18"/>
      <c r="D23" s="18"/>
      <c r="F23" s="65"/>
      <c r="G23" s="65"/>
      <c r="H23" s="65"/>
      <c r="I23" s="66"/>
      <c r="J23" s="66"/>
      <c r="K23" s="66"/>
      <c r="L23" s="65"/>
      <c r="M23" s="65"/>
      <c r="N23" s="65"/>
      <c r="O23" s="66"/>
      <c r="P23" s="66"/>
      <c r="Q23" s="66"/>
      <c r="R23" s="65"/>
      <c r="S23" s="65"/>
      <c r="T23" s="65"/>
      <c r="U23" s="66"/>
      <c r="V23" s="66"/>
      <c r="W23" s="66"/>
      <c r="X23" s="65"/>
      <c r="Y23" s="65"/>
      <c r="Z23" s="65"/>
      <c r="AA23" s="66"/>
      <c r="AB23" s="66"/>
      <c r="AC23" s="66"/>
      <c r="AD23" s="65"/>
      <c r="AE23" s="65"/>
      <c r="AF23" s="65"/>
      <c r="AG23" s="66"/>
      <c r="AH23" s="66"/>
      <c r="AI23" s="66"/>
      <c r="AJ23" s="65"/>
      <c r="AK23" s="65"/>
      <c r="AL23" s="65"/>
      <c r="AM23" s="66"/>
      <c r="AN23" s="66"/>
      <c r="AO23" s="66"/>
    </row>
    <row r="24" spans="1:41" ht="17.25" x14ac:dyDescent="0.3">
      <c r="A24" s="4" t="s">
        <v>6</v>
      </c>
      <c r="B24" s="16"/>
      <c r="C24" s="19"/>
      <c r="D24" s="19"/>
      <c r="F24" s="65"/>
      <c r="G24" s="65"/>
      <c r="H24" s="65"/>
      <c r="I24" s="66"/>
      <c r="J24" s="66"/>
      <c r="K24" s="66"/>
      <c r="L24" s="65"/>
      <c r="M24" s="65"/>
      <c r="N24" s="65"/>
      <c r="O24" s="66"/>
      <c r="P24" s="66"/>
      <c r="Q24" s="66"/>
      <c r="R24" s="65"/>
      <c r="S24" s="65"/>
      <c r="T24" s="65"/>
      <c r="U24" s="66"/>
      <c r="V24" s="66"/>
      <c r="W24" s="66"/>
      <c r="X24" s="65"/>
      <c r="Y24" s="65"/>
      <c r="Z24" s="65"/>
      <c r="AA24" s="66"/>
      <c r="AB24" s="66"/>
      <c r="AC24" s="66"/>
      <c r="AD24" s="65"/>
      <c r="AE24" s="65"/>
      <c r="AF24" s="65"/>
      <c r="AG24" s="66"/>
      <c r="AH24" s="66"/>
      <c r="AI24" s="66"/>
      <c r="AJ24" s="65"/>
      <c r="AK24" s="65"/>
      <c r="AL24" s="65"/>
      <c r="AM24" s="66"/>
      <c r="AN24" s="66"/>
      <c r="AO24" s="66"/>
    </row>
    <row r="25" spans="1:41" ht="9.9499999999999993" customHeight="1" x14ac:dyDescent="0.3">
      <c r="A25" s="15"/>
      <c r="B25" s="16"/>
      <c r="C25" s="19"/>
      <c r="D25" s="19"/>
      <c r="F25" s="65"/>
      <c r="G25" s="65"/>
      <c r="H25" s="65"/>
      <c r="I25" s="66"/>
      <c r="J25" s="66"/>
      <c r="K25" s="66"/>
      <c r="L25" s="65"/>
      <c r="M25" s="65"/>
      <c r="N25" s="65"/>
      <c r="O25" s="66"/>
      <c r="P25" s="66"/>
      <c r="Q25" s="66"/>
      <c r="R25" s="65"/>
      <c r="S25" s="65"/>
      <c r="T25" s="65"/>
      <c r="U25" s="66"/>
      <c r="V25" s="66"/>
      <c r="W25" s="66"/>
      <c r="X25" s="65"/>
      <c r="Y25" s="65"/>
      <c r="Z25" s="65"/>
      <c r="AA25" s="66"/>
      <c r="AB25" s="66"/>
      <c r="AC25" s="66"/>
      <c r="AD25" s="65"/>
      <c r="AE25" s="65"/>
      <c r="AF25" s="65"/>
      <c r="AG25" s="66"/>
      <c r="AH25" s="66"/>
      <c r="AI25" s="66"/>
      <c r="AJ25" s="65"/>
      <c r="AK25" s="65"/>
      <c r="AL25" s="65"/>
      <c r="AM25" s="66"/>
      <c r="AN25" s="66"/>
      <c r="AO25" s="66"/>
    </row>
    <row r="26" spans="1:41" ht="16.5" customHeight="1" x14ac:dyDescent="0.3">
      <c r="A26" s="68" t="s">
        <v>89</v>
      </c>
      <c r="B26" s="16"/>
      <c r="C26" s="14">
        <f>H26+K26+N26+Q26+T26+W26+Z26+AC26+AF26+AI26+AL26+AO26</f>
        <v>341394.41000000003</v>
      </c>
      <c r="D26" s="19"/>
      <c r="F26" s="65"/>
      <c r="G26" s="65"/>
      <c r="H26" s="65">
        <f t="shared" si="1"/>
        <v>0</v>
      </c>
      <c r="I26" s="66"/>
      <c r="J26" s="66"/>
      <c r="K26" s="66">
        <f t="shared" si="2"/>
        <v>0</v>
      </c>
      <c r="L26" s="65">
        <v>261886.41</v>
      </c>
      <c r="M26" s="65"/>
      <c r="N26" s="65">
        <f t="shared" si="3"/>
        <v>261886.41</v>
      </c>
      <c r="O26" s="66">
        <v>26884</v>
      </c>
      <c r="P26" s="66"/>
      <c r="Q26" s="66">
        <f t="shared" si="4"/>
        <v>26884</v>
      </c>
      <c r="R26" s="65">
        <v>52624</v>
      </c>
      <c r="S26" s="65"/>
      <c r="T26" s="65">
        <f t="shared" si="5"/>
        <v>52624</v>
      </c>
      <c r="U26" s="66"/>
      <c r="V26" s="66"/>
      <c r="W26" s="66">
        <f t="shared" si="6"/>
        <v>0</v>
      </c>
      <c r="X26" s="65"/>
      <c r="Y26" s="65"/>
      <c r="Z26" s="65">
        <f t="shared" si="7"/>
        <v>0</v>
      </c>
      <c r="AA26" s="66"/>
      <c r="AB26" s="66"/>
      <c r="AC26" s="66">
        <f t="shared" si="8"/>
        <v>0</v>
      </c>
      <c r="AD26" s="65"/>
      <c r="AE26" s="65"/>
      <c r="AF26" s="65">
        <f t="shared" si="9"/>
        <v>0</v>
      </c>
      <c r="AG26" s="66"/>
      <c r="AH26" s="66"/>
      <c r="AI26" s="66">
        <f t="shared" si="10"/>
        <v>0</v>
      </c>
      <c r="AJ26" s="65"/>
      <c r="AK26" s="65"/>
      <c r="AL26" s="65">
        <f t="shared" si="11"/>
        <v>0</v>
      </c>
      <c r="AM26" s="66"/>
      <c r="AN26" s="66"/>
      <c r="AO26" s="66">
        <f t="shared" ref="AO26:AO30" si="17">AM26+AN26</f>
        <v>0</v>
      </c>
    </row>
    <row r="27" spans="1:41" ht="16.5" customHeight="1" x14ac:dyDescent="0.3">
      <c r="A27" s="68" t="s">
        <v>60</v>
      </c>
      <c r="B27" s="16"/>
      <c r="C27" s="14">
        <f>H27+K27+N27+Q27+T27+W27+Z27+AC27+AF27+AI27+AL27+AO27</f>
        <v>791054</v>
      </c>
      <c r="D27" s="19">
        <v>35000</v>
      </c>
      <c r="F27" s="65">
        <v>330062</v>
      </c>
      <c r="G27" s="65"/>
      <c r="H27" s="65">
        <f t="shared" si="1"/>
        <v>330062</v>
      </c>
      <c r="I27" s="66">
        <v>334593</v>
      </c>
      <c r="J27" s="66"/>
      <c r="K27" s="66">
        <f t="shared" si="2"/>
        <v>334593</v>
      </c>
      <c r="L27" s="65">
        <v>67508.5</v>
      </c>
      <c r="M27" s="65"/>
      <c r="N27" s="65">
        <f t="shared" si="3"/>
        <v>67508.5</v>
      </c>
      <c r="O27" s="66">
        <v>49134</v>
      </c>
      <c r="P27" s="66"/>
      <c r="Q27" s="66">
        <f t="shared" si="4"/>
        <v>49134</v>
      </c>
      <c r="R27" s="65">
        <v>1871</v>
      </c>
      <c r="S27" s="65"/>
      <c r="T27" s="65">
        <f t="shared" si="5"/>
        <v>1871</v>
      </c>
      <c r="U27" s="66">
        <v>960.5</v>
      </c>
      <c r="V27" s="66"/>
      <c r="W27" s="66">
        <f t="shared" si="6"/>
        <v>960.5</v>
      </c>
      <c r="X27" s="65">
        <v>6925</v>
      </c>
      <c r="Y27" s="65"/>
      <c r="Z27" s="65">
        <f t="shared" si="7"/>
        <v>6925</v>
      </c>
      <c r="AA27" s="66"/>
      <c r="AB27" s="66"/>
      <c r="AC27" s="66">
        <f t="shared" si="8"/>
        <v>0</v>
      </c>
      <c r="AD27" s="65"/>
      <c r="AE27" s="65"/>
      <c r="AF27" s="65">
        <f t="shared" si="9"/>
        <v>0</v>
      </c>
      <c r="AG27" s="66"/>
      <c r="AH27" s="66"/>
      <c r="AI27" s="66">
        <f t="shared" si="10"/>
        <v>0</v>
      </c>
      <c r="AJ27" s="65"/>
      <c r="AK27" s="65"/>
      <c r="AL27" s="65">
        <f t="shared" si="11"/>
        <v>0</v>
      </c>
      <c r="AM27" s="66"/>
      <c r="AN27" s="66"/>
      <c r="AO27" s="66">
        <f t="shared" si="17"/>
        <v>0</v>
      </c>
    </row>
    <row r="28" spans="1:41" ht="16.5" customHeight="1" x14ac:dyDescent="0.3">
      <c r="A28" s="68" t="s">
        <v>62</v>
      </c>
      <c r="B28" s="16"/>
      <c r="C28" s="14">
        <f>H28+K28+N28+Q28+T28+W28+Z28+AC28+AF28+AI28+AL28+AO28</f>
        <v>148200</v>
      </c>
      <c r="D28" s="19">
        <v>0</v>
      </c>
      <c r="F28" s="65">
        <v>138800</v>
      </c>
      <c r="G28" s="65"/>
      <c r="H28" s="65">
        <f t="shared" si="1"/>
        <v>138800</v>
      </c>
      <c r="I28" s="66">
        <v>9400</v>
      </c>
      <c r="J28" s="66"/>
      <c r="K28" s="66">
        <f t="shared" si="2"/>
        <v>9400</v>
      </c>
      <c r="L28" s="65"/>
      <c r="M28" s="65"/>
      <c r="N28" s="65">
        <f t="shared" si="3"/>
        <v>0</v>
      </c>
      <c r="O28" s="66"/>
      <c r="P28" s="66"/>
      <c r="Q28" s="66">
        <f t="shared" si="4"/>
        <v>0</v>
      </c>
      <c r="R28" s="65"/>
      <c r="S28" s="65"/>
      <c r="T28" s="65">
        <f t="shared" si="5"/>
        <v>0</v>
      </c>
      <c r="U28" s="66"/>
      <c r="V28" s="66"/>
      <c r="W28" s="66">
        <f t="shared" si="6"/>
        <v>0</v>
      </c>
      <c r="X28" s="65"/>
      <c r="Y28" s="65"/>
      <c r="Z28" s="65">
        <f t="shared" si="7"/>
        <v>0</v>
      </c>
      <c r="AA28" s="66"/>
      <c r="AB28" s="66"/>
      <c r="AC28" s="66">
        <f t="shared" si="8"/>
        <v>0</v>
      </c>
      <c r="AD28" s="65"/>
      <c r="AE28" s="65"/>
      <c r="AF28" s="65">
        <f t="shared" si="9"/>
        <v>0</v>
      </c>
      <c r="AG28" s="66"/>
      <c r="AH28" s="66"/>
      <c r="AI28" s="66">
        <f t="shared" si="10"/>
        <v>0</v>
      </c>
      <c r="AJ28" s="65"/>
      <c r="AK28" s="65"/>
      <c r="AL28" s="65">
        <f t="shared" si="11"/>
        <v>0</v>
      </c>
      <c r="AM28" s="66"/>
      <c r="AN28" s="66"/>
      <c r="AO28" s="66">
        <f t="shared" si="17"/>
        <v>0</v>
      </c>
    </row>
    <row r="29" spans="1:41" ht="16.5" customHeight="1" x14ac:dyDescent="0.3">
      <c r="A29" s="68" t="s">
        <v>61</v>
      </c>
      <c r="B29" s="16"/>
      <c r="C29" s="14">
        <f>H29+K29+N29+Q29+T29+W29+Z29+AC29+AF29+AI29+AL29+AO29</f>
        <v>139356</v>
      </c>
      <c r="D29" s="19">
        <v>45000</v>
      </c>
      <c r="F29" s="65">
        <v>139356</v>
      </c>
      <c r="G29" s="65"/>
      <c r="H29" s="65">
        <f t="shared" si="1"/>
        <v>139356</v>
      </c>
      <c r="I29" s="66"/>
      <c r="J29" s="66"/>
      <c r="K29" s="66">
        <f t="shared" si="2"/>
        <v>0</v>
      </c>
      <c r="L29" s="65"/>
      <c r="M29" s="65"/>
      <c r="N29" s="65">
        <f t="shared" si="3"/>
        <v>0</v>
      </c>
      <c r="O29" s="66"/>
      <c r="P29" s="66"/>
      <c r="Q29" s="66">
        <f t="shared" si="4"/>
        <v>0</v>
      </c>
      <c r="R29" s="65"/>
      <c r="S29" s="65"/>
      <c r="T29" s="65">
        <f t="shared" si="5"/>
        <v>0</v>
      </c>
      <c r="U29" s="66"/>
      <c r="V29" s="66"/>
      <c r="W29" s="66">
        <f t="shared" si="6"/>
        <v>0</v>
      </c>
      <c r="X29" s="65"/>
      <c r="Y29" s="65"/>
      <c r="Z29" s="65">
        <f t="shared" si="7"/>
        <v>0</v>
      </c>
      <c r="AA29" s="66"/>
      <c r="AB29" s="66"/>
      <c r="AC29" s="66">
        <f t="shared" si="8"/>
        <v>0</v>
      </c>
      <c r="AD29" s="65"/>
      <c r="AE29" s="65"/>
      <c r="AF29" s="65">
        <f t="shared" si="9"/>
        <v>0</v>
      </c>
      <c r="AG29" s="66"/>
      <c r="AH29" s="66"/>
      <c r="AI29" s="66">
        <f t="shared" si="10"/>
        <v>0</v>
      </c>
      <c r="AJ29" s="65"/>
      <c r="AK29" s="65"/>
      <c r="AL29" s="65">
        <f t="shared" si="11"/>
        <v>0</v>
      </c>
      <c r="AM29" s="66"/>
      <c r="AN29" s="66"/>
      <c r="AO29" s="66">
        <f t="shared" si="17"/>
        <v>0</v>
      </c>
    </row>
    <row r="30" spans="1:41" ht="17.25" x14ac:dyDescent="0.3">
      <c r="A30" s="68" t="s">
        <v>63</v>
      </c>
      <c r="B30" s="16"/>
      <c r="C30" s="14">
        <f>H30+K30+N30+Q30+T30+W30+Z30+AC30+AF30+AI30+AL30+AO30+83</f>
        <v>1554978.98</v>
      </c>
      <c r="D30" s="19">
        <v>20000</v>
      </c>
      <c r="F30" s="65">
        <f>48812+109400+45000</f>
        <v>203212</v>
      </c>
      <c r="G30" s="65">
        <v>-45000</v>
      </c>
      <c r="H30" s="65">
        <f t="shared" si="1"/>
        <v>158212</v>
      </c>
      <c r="I30" s="66">
        <f>573769+7448</f>
        <v>581217</v>
      </c>
      <c r="J30" s="66"/>
      <c r="K30" s="66">
        <f t="shared" si="2"/>
        <v>581217</v>
      </c>
      <c r="L30" s="65">
        <v>153584.98000000001</v>
      </c>
      <c r="M30" s="65"/>
      <c r="N30" s="65">
        <f t="shared" si="3"/>
        <v>153584.98000000001</v>
      </c>
      <c r="O30" s="66">
        <v>565697</v>
      </c>
      <c r="P30" s="66"/>
      <c r="Q30" s="66">
        <f t="shared" si="4"/>
        <v>565697</v>
      </c>
      <c r="R30" s="65">
        <v>72328</v>
      </c>
      <c r="S30" s="65"/>
      <c r="T30" s="65">
        <f t="shared" si="5"/>
        <v>72328</v>
      </c>
      <c r="U30" s="66">
        <v>16249</v>
      </c>
      <c r="V30" s="66"/>
      <c r="W30" s="66">
        <f t="shared" si="6"/>
        <v>16249</v>
      </c>
      <c r="X30" s="65">
        <f>8283-6925</f>
        <v>1358</v>
      </c>
      <c r="Y30" s="65"/>
      <c r="Z30" s="65">
        <f t="shared" si="7"/>
        <v>1358</v>
      </c>
      <c r="AA30" s="66">
        <v>2005</v>
      </c>
      <c r="AB30" s="66"/>
      <c r="AC30" s="66">
        <f t="shared" si="8"/>
        <v>2005</v>
      </c>
      <c r="AD30" s="65">
        <v>4245</v>
      </c>
      <c r="AE30" s="65"/>
      <c r="AF30" s="65">
        <f t="shared" si="9"/>
        <v>4245</v>
      </c>
      <c r="AG30" s="66"/>
      <c r="AH30" s="66"/>
      <c r="AI30" s="66">
        <f t="shared" si="10"/>
        <v>0</v>
      </c>
      <c r="AJ30" s="65"/>
      <c r="AK30" s="65"/>
      <c r="AL30" s="65">
        <f t="shared" si="11"/>
        <v>0</v>
      </c>
      <c r="AM30" s="66"/>
      <c r="AN30" s="66"/>
      <c r="AO30" s="66">
        <f t="shared" si="17"/>
        <v>0</v>
      </c>
    </row>
    <row r="31" spans="1:41" ht="17.25" x14ac:dyDescent="0.3">
      <c r="A31" s="4" t="s">
        <v>7</v>
      </c>
      <c r="B31" s="16"/>
      <c r="C31" s="17">
        <f>SUM(C26:C30)</f>
        <v>2974983.39</v>
      </c>
      <c r="D31" s="17">
        <f>SUM(D27:D30)</f>
        <v>100000</v>
      </c>
      <c r="F31" s="17">
        <f t="shared" ref="F31:AL31" si="18">SUM(F26:F30)</f>
        <v>811430</v>
      </c>
      <c r="G31" s="17">
        <f t="shared" si="18"/>
        <v>-45000</v>
      </c>
      <c r="H31" s="17">
        <f t="shared" si="18"/>
        <v>766430</v>
      </c>
      <c r="I31" s="17">
        <f t="shared" si="18"/>
        <v>925210</v>
      </c>
      <c r="J31" s="17">
        <f t="shared" si="18"/>
        <v>0</v>
      </c>
      <c r="K31" s="17">
        <f t="shared" si="18"/>
        <v>925210</v>
      </c>
      <c r="L31" s="17">
        <f t="shared" si="18"/>
        <v>482979.89</v>
      </c>
      <c r="M31" s="17">
        <f t="shared" si="18"/>
        <v>0</v>
      </c>
      <c r="N31" s="17">
        <f t="shared" si="18"/>
        <v>482979.89</v>
      </c>
      <c r="O31" s="17">
        <f t="shared" si="18"/>
        <v>641715</v>
      </c>
      <c r="P31" s="17">
        <f t="shared" si="18"/>
        <v>0</v>
      </c>
      <c r="Q31" s="17">
        <f t="shared" si="18"/>
        <v>641715</v>
      </c>
      <c r="R31" s="17">
        <f t="shared" si="18"/>
        <v>126823</v>
      </c>
      <c r="S31" s="17">
        <f t="shared" si="18"/>
        <v>0</v>
      </c>
      <c r="T31" s="17">
        <f t="shared" si="18"/>
        <v>126823</v>
      </c>
      <c r="U31" s="17">
        <f t="shared" si="18"/>
        <v>17209.5</v>
      </c>
      <c r="V31" s="17">
        <f t="shared" si="18"/>
        <v>0</v>
      </c>
      <c r="W31" s="17">
        <f t="shared" si="18"/>
        <v>17209.5</v>
      </c>
      <c r="X31" s="17">
        <f t="shared" si="18"/>
        <v>8283</v>
      </c>
      <c r="Y31" s="17">
        <f t="shared" si="18"/>
        <v>0</v>
      </c>
      <c r="Z31" s="17">
        <f t="shared" si="18"/>
        <v>8283</v>
      </c>
      <c r="AA31" s="17">
        <f t="shared" si="18"/>
        <v>2005</v>
      </c>
      <c r="AB31" s="17">
        <f t="shared" si="18"/>
        <v>0</v>
      </c>
      <c r="AC31" s="17">
        <f t="shared" si="18"/>
        <v>2005</v>
      </c>
      <c r="AD31" s="17">
        <f t="shared" si="18"/>
        <v>4245</v>
      </c>
      <c r="AE31" s="17">
        <f t="shared" si="18"/>
        <v>0</v>
      </c>
      <c r="AF31" s="17">
        <f t="shared" si="18"/>
        <v>4245</v>
      </c>
      <c r="AG31" s="17">
        <f t="shared" si="18"/>
        <v>0</v>
      </c>
      <c r="AH31" s="17">
        <f t="shared" si="18"/>
        <v>0</v>
      </c>
      <c r="AI31" s="17">
        <f t="shared" si="18"/>
        <v>0</v>
      </c>
      <c r="AJ31" s="17">
        <f t="shared" si="18"/>
        <v>0</v>
      </c>
      <c r="AK31" s="17">
        <f t="shared" si="18"/>
        <v>0</v>
      </c>
      <c r="AL31" s="17">
        <f t="shared" si="18"/>
        <v>0</v>
      </c>
      <c r="AM31" s="17">
        <f t="shared" ref="AM31:AO31" si="19">SUM(AM26:AM30)</f>
        <v>0</v>
      </c>
      <c r="AN31" s="17">
        <f t="shared" si="19"/>
        <v>0</v>
      </c>
      <c r="AO31" s="17">
        <f t="shared" si="19"/>
        <v>0</v>
      </c>
    </row>
    <row r="32" spans="1:41" ht="17.25" x14ac:dyDescent="0.3">
      <c r="A32" s="15"/>
      <c r="B32" s="16"/>
      <c r="C32" s="20"/>
      <c r="D32" s="20"/>
      <c r="F32" s="65"/>
      <c r="G32" s="65"/>
      <c r="H32" s="65">
        <f t="shared" si="1"/>
        <v>0</v>
      </c>
      <c r="I32" s="66"/>
      <c r="J32" s="66"/>
      <c r="K32" s="66">
        <f t="shared" si="2"/>
        <v>0</v>
      </c>
      <c r="L32" s="65"/>
      <c r="M32" s="65"/>
      <c r="N32" s="65">
        <f t="shared" si="3"/>
        <v>0</v>
      </c>
      <c r="O32" s="66"/>
      <c r="P32" s="66"/>
      <c r="Q32" s="66">
        <f t="shared" si="4"/>
        <v>0</v>
      </c>
      <c r="R32" s="65"/>
      <c r="S32" s="65"/>
      <c r="T32" s="65">
        <f t="shared" si="5"/>
        <v>0</v>
      </c>
      <c r="U32" s="66"/>
      <c r="V32" s="66"/>
      <c r="W32" s="66">
        <f t="shared" si="6"/>
        <v>0</v>
      </c>
      <c r="X32" s="65"/>
      <c r="Y32" s="65"/>
      <c r="Z32" s="65">
        <f t="shared" si="7"/>
        <v>0</v>
      </c>
      <c r="AA32" s="66"/>
      <c r="AB32" s="66"/>
      <c r="AC32" s="66">
        <f t="shared" si="8"/>
        <v>0</v>
      </c>
      <c r="AD32" s="65"/>
      <c r="AE32" s="65"/>
      <c r="AF32" s="65">
        <f t="shared" si="9"/>
        <v>0</v>
      </c>
      <c r="AG32" s="66"/>
      <c r="AH32" s="66"/>
      <c r="AI32" s="66">
        <f t="shared" si="10"/>
        <v>0</v>
      </c>
      <c r="AJ32" s="65"/>
      <c r="AK32" s="65"/>
      <c r="AL32" s="65">
        <f t="shared" si="11"/>
        <v>0</v>
      </c>
      <c r="AM32" s="66"/>
      <c r="AN32" s="66"/>
      <c r="AO32" s="66">
        <f t="shared" ref="AO32" si="20">AM32+AN32</f>
        <v>0</v>
      </c>
    </row>
    <row r="33" spans="1:41" ht="17.25" x14ac:dyDescent="0.3">
      <c r="A33" s="4" t="s">
        <v>8</v>
      </c>
      <c r="B33" s="16"/>
      <c r="C33" s="21">
        <f>C22-C31+1</f>
        <v>-313834.11000000034</v>
      </c>
      <c r="D33" s="21">
        <f>D22-D31</f>
        <v>280000</v>
      </c>
      <c r="F33" s="21">
        <f t="shared" ref="F33:AL33" si="21">F22-F31</f>
        <v>-93106.219999999972</v>
      </c>
      <c r="G33" s="21">
        <f t="shared" si="21"/>
        <v>-45147</v>
      </c>
      <c r="H33" s="21">
        <f t="shared" si="21"/>
        <v>-138252.21999999997</v>
      </c>
      <c r="I33" s="21">
        <f t="shared" si="21"/>
        <v>-79157.5</v>
      </c>
      <c r="J33" s="21">
        <f t="shared" si="21"/>
        <v>-430000</v>
      </c>
      <c r="K33" s="21">
        <f t="shared" si="21"/>
        <v>-509157.5</v>
      </c>
      <c r="L33" s="21">
        <f t="shared" si="21"/>
        <v>383683.11</v>
      </c>
      <c r="M33" s="21">
        <f t="shared" si="21"/>
        <v>0</v>
      </c>
      <c r="N33" s="21">
        <f t="shared" si="21"/>
        <v>383683.11</v>
      </c>
      <c r="O33" s="21">
        <f t="shared" si="21"/>
        <v>-2248</v>
      </c>
      <c r="P33" s="21">
        <f t="shared" si="21"/>
        <v>-145000</v>
      </c>
      <c r="Q33" s="21">
        <f t="shared" si="21"/>
        <v>-147248</v>
      </c>
      <c r="R33" s="21">
        <f t="shared" si="21"/>
        <v>92165</v>
      </c>
      <c r="S33" s="21">
        <f t="shared" si="21"/>
        <v>0</v>
      </c>
      <c r="T33" s="21">
        <f t="shared" si="21"/>
        <v>92165</v>
      </c>
      <c r="U33" s="21">
        <f t="shared" si="21"/>
        <v>13290.5</v>
      </c>
      <c r="V33" s="21">
        <f t="shared" si="21"/>
        <v>0</v>
      </c>
      <c r="W33" s="21">
        <f t="shared" si="21"/>
        <v>13290.5</v>
      </c>
      <c r="X33" s="21">
        <f t="shared" si="21"/>
        <v>-3683</v>
      </c>
      <c r="Y33" s="21">
        <f t="shared" si="21"/>
        <v>0</v>
      </c>
      <c r="Z33" s="21">
        <f t="shared" si="21"/>
        <v>-3683</v>
      </c>
      <c r="AA33" s="21">
        <f t="shared" si="21"/>
        <v>-305</v>
      </c>
      <c r="AB33" s="21">
        <f t="shared" si="21"/>
        <v>0</v>
      </c>
      <c r="AC33" s="21">
        <f t="shared" si="21"/>
        <v>-305</v>
      </c>
      <c r="AD33" s="21">
        <f t="shared" si="21"/>
        <v>-4245</v>
      </c>
      <c r="AE33" s="21">
        <f t="shared" si="21"/>
        <v>0</v>
      </c>
      <c r="AF33" s="21">
        <f t="shared" si="21"/>
        <v>-4245</v>
      </c>
      <c r="AG33" s="21">
        <f t="shared" si="21"/>
        <v>0</v>
      </c>
      <c r="AH33" s="21">
        <f t="shared" si="21"/>
        <v>0</v>
      </c>
      <c r="AI33" s="21">
        <f t="shared" si="21"/>
        <v>0</v>
      </c>
      <c r="AJ33" s="21">
        <f t="shared" si="21"/>
        <v>0</v>
      </c>
      <c r="AK33" s="21">
        <f t="shared" si="21"/>
        <v>0</v>
      </c>
      <c r="AL33" s="21">
        <f t="shared" si="21"/>
        <v>0</v>
      </c>
      <c r="AM33" s="21">
        <f t="shared" ref="AM33:AO33" si="22">AM22-AM31</f>
        <v>0</v>
      </c>
      <c r="AN33" s="21">
        <f t="shared" si="22"/>
        <v>0</v>
      </c>
      <c r="AO33" s="21">
        <f t="shared" si="22"/>
        <v>0</v>
      </c>
    </row>
    <row r="34" spans="1:41" ht="23.1" customHeight="1" x14ac:dyDescent="0.3">
      <c r="A34" s="22"/>
      <c r="B34" s="16"/>
      <c r="C34" s="18"/>
      <c r="D34" s="18"/>
      <c r="F34" s="65"/>
      <c r="G34" s="65"/>
      <c r="H34" s="65"/>
      <c r="I34" s="66"/>
      <c r="J34" s="66"/>
      <c r="K34" s="66"/>
      <c r="L34" s="65"/>
      <c r="M34" s="65"/>
      <c r="N34" s="65"/>
      <c r="O34" s="66"/>
      <c r="P34" s="66"/>
      <c r="Q34" s="66"/>
      <c r="R34" s="65"/>
      <c r="S34" s="65"/>
      <c r="T34" s="65"/>
      <c r="U34" s="66"/>
      <c r="V34" s="66"/>
      <c r="W34" s="66"/>
      <c r="X34" s="65"/>
      <c r="Y34" s="65"/>
      <c r="Z34" s="65"/>
      <c r="AA34" s="66"/>
      <c r="AB34" s="66"/>
      <c r="AC34" s="66"/>
      <c r="AD34" s="65"/>
      <c r="AE34" s="65"/>
      <c r="AF34" s="65"/>
      <c r="AG34" s="66"/>
      <c r="AH34" s="66"/>
      <c r="AI34" s="66"/>
      <c r="AJ34" s="65"/>
      <c r="AK34" s="65"/>
      <c r="AL34" s="65"/>
      <c r="AM34" s="66"/>
      <c r="AN34" s="66"/>
      <c r="AO34" s="66"/>
    </row>
    <row r="35" spans="1:41" ht="17.25" x14ac:dyDescent="0.3">
      <c r="A35" s="4" t="s">
        <v>9</v>
      </c>
      <c r="B35" s="16"/>
      <c r="C35" s="19"/>
      <c r="D35" s="19"/>
      <c r="F35" s="65"/>
      <c r="G35" s="65"/>
      <c r="H35" s="65"/>
      <c r="I35" s="66"/>
      <c r="J35" s="66"/>
      <c r="K35" s="66"/>
      <c r="L35" s="65"/>
      <c r="M35" s="65"/>
      <c r="N35" s="65"/>
      <c r="O35" s="66"/>
      <c r="P35" s="66"/>
      <c r="Q35" s="66"/>
      <c r="R35" s="65"/>
      <c r="S35" s="65"/>
      <c r="T35" s="65"/>
      <c r="U35" s="66"/>
      <c r="V35" s="66"/>
      <c r="W35" s="66"/>
      <c r="X35" s="65"/>
      <c r="Y35" s="65"/>
      <c r="Z35" s="65"/>
      <c r="AA35" s="66"/>
      <c r="AB35" s="66"/>
      <c r="AC35" s="66"/>
      <c r="AD35" s="65"/>
      <c r="AE35" s="65"/>
      <c r="AF35" s="65"/>
      <c r="AG35" s="66"/>
      <c r="AH35" s="66"/>
      <c r="AI35" s="66"/>
      <c r="AJ35" s="65"/>
      <c r="AK35" s="65"/>
      <c r="AL35" s="65"/>
      <c r="AM35" s="66"/>
      <c r="AN35" s="66"/>
      <c r="AO35" s="66"/>
    </row>
    <row r="36" spans="1:41" ht="9.9499999999999993" customHeight="1" x14ac:dyDescent="0.3">
      <c r="A36" s="4"/>
      <c r="B36" s="16"/>
      <c r="C36" s="19"/>
      <c r="D36" s="19"/>
      <c r="F36" s="65"/>
      <c r="G36" s="65"/>
      <c r="H36" s="65"/>
      <c r="I36" s="66"/>
      <c r="J36" s="66"/>
      <c r="K36" s="66"/>
      <c r="L36" s="65"/>
      <c r="M36" s="65"/>
      <c r="N36" s="65"/>
      <c r="O36" s="66"/>
      <c r="P36" s="66"/>
      <c r="Q36" s="66"/>
      <c r="R36" s="65"/>
      <c r="S36" s="65"/>
      <c r="T36" s="65"/>
      <c r="U36" s="66"/>
      <c r="V36" s="66"/>
      <c r="W36" s="66"/>
      <c r="X36" s="65"/>
      <c r="Y36" s="65"/>
      <c r="Z36" s="65"/>
      <c r="AA36" s="66"/>
      <c r="AB36" s="66"/>
      <c r="AC36" s="66"/>
      <c r="AD36" s="65"/>
      <c r="AE36" s="65"/>
      <c r="AF36" s="65"/>
      <c r="AG36" s="66"/>
      <c r="AH36" s="66"/>
      <c r="AI36" s="66"/>
      <c r="AJ36" s="65"/>
      <c r="AK36" s="65"/>
      <c r="AL36" s="65"/>
      <c r="AM36" s="66"/>
      <c r="AN36" s="66"/>
      <c r="AO36" s="66"/>
    </row>
    <row r="37" spans="1:41" ht="17.25" x14ac:dyDescent="0.3">
      <c r="A37" s="15" t="s">
        <v>10</v>
      </c>
      <c r="B37" s="16"/>
      <c r="C37" s="14">
        <f>H37+K37+N37+Q37+T37+W37+Z37+AC37+AF37+AI37+AL37+AO37</f>
        <v>9704.91</v>
      </c>
      <c r="D37" s="19">
        <v>0</v>
      </c>
      <c r="F37" s="65">
        <v>16.760000000000002</v>
      </c>
      <c r="G37" s="65"/>
      <c r="H37" s="65">
        <f t="shared" si="1"/>
        <v>16.760000000000002</v>
      </c>
      <c r="I37" s="66">
        <v>289.11</v>
      </c>
      <c r="J37" s="66"/>
      <c r="K37" s="66">
        <f t="shared" si="2"/>
        <v>289.11</v>
      </c>
      <c r="L37" s="65">
        <v>8921.98</v>
      </c>
      <c r="M37" s="65"/>
      <c r="N37" s="65">
        <f t="shared" si="3"/>
        <v>8921.98</v>
      </c>
      <c r="O37" s="66">
        <v>256</v>
      </c>
      <c r="P37" s="66"/>
      <c r="Q37" s="66">
        <f t="shared" si="4"/>
        <v>256</v>
      </c>
      <c r="R37" s="65">
        <v>132</v>
      </c>
      <c r="S37" s="65"/>
      <c r="T37" s="65">
        <f t="shared" si="5"/>
        <v>132</v>
      </c>
      <c r="U37" s="66">
        <v>30.33</v>
      </c>
      <c r="V37" s="66"/>
      <c r="W37" s="66">
        <f t="shared" si="6"/>
        <v>30.33</v>
      </c>
      <c r="X37" s="65">
        <v>51</v>
      </c>
      <c r="Y37" s="65"/>
      <c r="Z37" s="65">
        <f t="shared" si="7"/>
        <v>51</v>
      </c>
      <c r="AA37" s="66">
        <v>2.02</v>
      </c>
      <c r="AB37" s="66"/>
      <c r="AC37" s="66">
        <f t="shared" si="8"/>
        <v>2.02</v>
      </c>
      <c r="AD37" s="65">
        <v>5.71</v>
      </c>
      <c r="AE37" s="65"/>
      <c r="AF37" s="65">
        <f t="shared" si="9"/>
        <v>5.71</v>
      </c>
      <c r="AG37" s="66"/>
      <c r="AH37" s="66"/>
      <c r="AI37" s="66">
        <f t="shared" si="10"/>
        <v>0</v>
      </c>
      <c r="AJ37" s="65"/>
      <c r="AK37" s="65"/>
      <c r="AL37" s="65">
        <f t="shared" si="11"/>
        <v>0</v>
      </c>
      <c r="AM37" s="66"/>
      <c r="AN37" s="66"/>
      <c r="AO37" s="66">
        <f t="shared" ref="AO37:AO39" si="23">AM37+AN37</f>
        <v>0</v>
      </c>
    </row>
    <row r="38" spans="1:41" ht="17.25" x14ac:dyDescent="0.3">
      <c r="A38" s="68" t="s">
        <v>64</v>
      </c>
      <c r="B38" s="16"/>
      <c r="C38" s="14">
        <f>H38+K38+N38+Q38+T38+W38+Z38+AC38+AF38+AI38+AL38+AO38</f>
        <v>99074.23</v>
      </c>
      <c r="D38" s="19"/>
      <c r="F38" s="65">
        <v>98957.56</v>
      </c>
      <c r="G38" s="65"/>
      <c r="H38" s="65">
        <f t="shared" si="1"/>
        <v>98957.56</v>
      </c>
      <c r="I38" s="66">
        <v>116.67</v>
      </c>
      <c r="J38" s="66"/>
      <c r="K38" s="66">
        <f t="shared" si="2"/>
        <v>116.67</v>
      </c>
      <c r="L38" s="65"/>
      <c r="M38" s="65"/>
      <c r="N38" s="65">
        <f t="shared" si="3"/>
        <v>0</v>
      </c>
      <c r="O38" s="66"/>
      <c r="P38" s="66"/>
      <c r="Q38" s="66">
        <f t="shared" si="4"/>
        <v>0</v>
      </c>
      <c r="R38" s="65"/>
      <c r="S38" s="65"/>
      <c r="T38" s="65">
        <f t="shared" si="5"/>
        <v>0</v>
      </c>
      <c r="U38" s="66"/>
      <c r="V38" s="66"/>
      <c r="W38" s="66">
        <f t="shared" si="6"/>
        <v>0</v>
      </c>
      <c r="X38" s="65"/>
      <c r="Y38" s="65"/>
      <c r="Z38" s="65">
        <f t="shared" si="7"/>
        <v>0</v>
      </c>
      <c r="AA38" s="66"/>
      <c r="AB38" s="66"/>
      <c r="AC38" s="66">
        <f t="shared" si="8"/>
        <v>0</v>
      </c>
      <c r="AD38" s="65"/>
      <c r="AE38" s="65"/>
      <c r="AF38" s="65">
        <f t="shared" si="9"/>
        <v>0</v>
      </c>
      <c r="AG38" s="66"/>
      <c r="AH38" s="66"/>
      <c r="AI38" s="66">
        <f t="shared" si="10"/>
        <v>0</v>
      </c>
      <c r="AJ38" s="65"/>
      <c r="AK38" s="65"/>
      <c r="AL38" s="65">
        <f t="shared" si="11"/>
        <v>0</v>
      </c>
      <c r="AM38" s="66"/>
      <c r="AN38" s="66"/>
      <c r="AO38" s="66">
        <f t="shared" si="23"/>
        <v>0</v>
      </c>
    </row>
    <row r="39" spans="1:41" ht="17.25" x14ac:dyDescent="0.3">
      <c r="A39" s="68" t="s">
        <v>65</v>
      </c>
      <c r="B39" s="16"/>
      <c r="C39" s="14">
        <f>H39+K39+N39+Q39+T39+W39+Z39+AC39+AF39+AI39+AL39+AO39</f>
        <v>100000</v>
      </c>
      <c r="D39" s="19"/>
      <c r="F39" s="65">
        <v>100000</v>
      </c>
      <c r="G39" s="65"/>
      <c r="H39" s="65">
        <f t="shared" si="1"/>
        <v>100000</v>
      </c>
      <c r="I39" s="66"/>
      <c r="J39" s="66"/>
      <c r="K39" s="66">
        <f t="shared" si="2"/>
        <v>0</v>
      </c>
      <c r="L39" s="65"/>
      <c r="M39" s="65"/>
      <c r="N39" s="65">
        <f t="shared" si="3"/>
        <v>0</v>
      </c>
      <c r="O39" s="66"/>
      <c r="P39" s="66"/>
      <c r="Q39" s="66">
        <f t="shared" si="4"/>
        <v>0</v>
      </c>
      <c r="R39" s="65"/>
      <c r="S39" s="65"/>
      <c r="T39" s="65">
        <f t="shared" si="5"/>
        <v>0</v>
      </c>
      <c r="U39" s="66"/>
      <c r="V39" s="66"/>
      <c r="W39" s="66">
        <f t="shared" si="6"/>
        <v>0</v>
      </c>
      <c r="X39" s="65"/>
      <c r="Y39" s="65"/>
      <c r="Z39" s="65">
        <f t="shared" si="7"/>
        <v>0</v>
      </c>
      <c r="AA39" s="66"/>
      <c r="AB39" s="66"/>
      <c r="AC39" s="66">
        <f t="shared" si="8"/>
        <v>0</v>
      </c>
      <c r="AD39" s="65"/>
      <c r="AE39" s="65"/>
      <c r="AF39" s="65">
        <f t="shared" si="9"/>
        <v>0</v>
      </c>
      <c r="AG39" s="66"/>
      <c r="AH39" s="66"/>
      <c r="AI39" s="66">
        <f t="shared" si="10"/>
        <v>0</v>
      </c>
      <c r="AJ39" s="65"/>
      <c r="AK39" s="65"/>
      <c r="AL39" s="65">
        <f t="shared" si="11"/>
        <v>0</v>
      </c>
      <c r="AM39" s="66"/>
      <c r="AN39" s="66"/>
      <c r="AO39" s="66">
        <f t="shared" si="23"/>
        <v>0</v>
      </c>
    </row>
    <row r="40" spans="1:41" ht="21.95" customHeight="1" x14ac:dyDescent="0.3">
      <c r="A40" s="4" t="s">
        <v>11</v>
      </c>
      <c r="B40" s="16"/>
      <c r="C40" s="17">
        <f>C37-C38-C39</f>
        <v>-189369.32</v>
      </c>
      <c r="D40" s="17">
        <f>SUM(D37:D37)</f>
        <v>0</v>
      </c>
      <c r="F40" s="17">
        <f>F37-F38-F39</f>
        <v>-198940.79999999999</v>
      </c>
      <c r="G40" s="17">
        <f t="shared" ref="G40:AL40" si="24">G37-G38-G39</f>
        <v>0</v>
      </c>
      <c r="H40" s="17">
        <f t="shared" si="24"/>
        <v>-198940.79999999999</v>
      </c>
      <c r="I40" s="17">
        <f t="shared" si="24"/>
        <v>172.44</v>
      </c>
      <c r="J40" s="17">
        <f t="shared" si="24"/>
        <v>0</v>
      </c>
      <c r="K40" s="17">
        <f t="shared" si="24"/>
        <v>172.44</v>
      </c>
      <c r="L40" s="17">
        <f t="shared" si="24"/>
        <v>8921.98</v>
      </c>
      <c r="M40" s="17">
        <f t="shared" si="24"/>
        <v>0</v>
      </c>
      <c r="N40" s="17">
        <f t="shared" si="24"/>
        <v>8921.98</v>
      </c>
      <c r="O40" s="17">
        <f t="shared" si="24"/>
        <v>256</v>
      </c>
      <c r="P40" s="17">
        <f t="shared" si="24"/>
        <v>0</v>
      </c>
      <c r="Q40" s="17">
        <f t="shared" si="24"/>
        <v>256</v>
      </c>
      <c r="R40" s="17">
        <f t="shared" si="24"/>
        <v>132</v>
      </c>
      <c r="S40" s="17">
        <f t="shared" si="24"/>
        <v>0</v>
      </c>
      <c r="T40" s="17">
        <f t="shared" si="24"/>
        <v>132</v>
      </c>
      <c r="U40" s="17">
        <f t="shared" si="24"/>
        <v>30.33</v>
      </c>
      <c r="V40" s="17">
        <f t="shared" si="24"/>
        <v>0</v>
      </c>
      <c r="W40" s="17">
        <f t="shared" si="24"/>
        <v>30.33</v>
      </c>
      <c r="X40" s="17">
        <f t="shared" si="24"/>
        <v>51</v>
      </c>
      <c r="Y40" s="17">
        <f t="shared" si="24"/>
        <v>0</v>
      </c>
      <c r="Z40" s="17">
        <f t="shared" si="24"/>
        <v>51</v>
      </c>
      <c r="AA40" s="17">
        <f t="shared" si="24"/>
        <v>2.02</v>
      </c>
      <c r="AB40" s="17">
        <f t="shared" si="24"/>
        <v>0</v>
      </c>
      <c r="AC40" s="17">
        <f t="shared" si="24"/>
        <v>2.02</v>
      </c>
      <c r="AD40" s="17">
        <f t="shared" si="24"/>
        <v>5.71</v>
      </c>
      <c r="AE40" s="17">
        <f t="shared" si="24"/>
        <v>0</v>
      </c>
      <c r="AF40" s="17">
        <f t="shared" si="24"/>
        <v>5.71</v>
      </c>
      <c r="AG40" s="17">
        <f t="shared" si="24"/>
        <v>0</v>
      </c>
      <c r="AH40" s="17">
        <f t="shared" si="24"/>
        <v>0</v>
      </c>
      <c r="AI40" s="17">
        <f t="shared" si="24"/>
        <v>0</v>
      </c>
      <c r="AJ40" s="17">
        <f t="shared" si="24"/>
        <v>0</v>
      </c>
      <c r="AK40" s="17">
        <f t="shared" si="24"/>
        <v>0</v>
      </c>
      <c r="AL40" s="17">
        <f t="shared" si="24"/>
        <v>0</v>
      </c>
      <c r="AM40" s="17">
        <f t="shared" ref="AM40:AO40" si="25">AM37-AM38-AM39</f>
        <v>0</v>
      </c>
      <c r="AN40" s="17">
        <f t="shared" si="25"/>
        <v>0</v>
      </c>
      <c r="AO40" s="17">
        <f t="shared" si="25"/>
        <v>0</v>
      </c>
    </row>
    <row r="41" spans="1:41" ht="17.25" x14ac:dyDescent="0.3">
      <c r="A41" s="15"/>
      <c r="B41" s="16"/>
      <c r="C41" s="18"/>
      <c r="D41" s="18"/>
      <c r="F41" s="65"/>
      <c r="G41" s="65"/>
      <c r="H41" s="65">
        <f t="shared" si="1"/>
        <v>0</v>
      </c>
      <c r="I41" s="66"/>
      <c r="J41" s="66"/>
      <c r="K41" s="66">
        <f t="shared" si="2"/>
        <v>0</v>
      </c>
      <c r="L41" s="65"/>
      <c r="M41" s="65"/>
      <c r="N41" s="65">
        <f t="shared" si="3"/>
        <v>0</v>
      </c>
      <c r="O41" s="66"/>
      <c r="P41" s="66"/>
      <c r="Q41" s="66">
        <f t="shared" si="4"/>
        <v>0</v>
      </c>
      <c r="R41" s="65"/>
      <c r="S41" s="65"/>
      <c r="T41" s="65">
        <f t="shared" si="5"/>
        <v>0</v>
      </c>
      <c r="U41" s="66"/>
      <c r="V41" s="66"/>
      <c r="W41" s="66">
        <f t="shared" si="6"/>
        <v>0</v>
      </c>
      <c r="X41" s="65"/>
      <c r="Y41" s="65"/>
      <c r="Z41" s="65">
        <f t="shared" si="7"/>
        <v>0</v>
      </c>
      <c r="AA41" s="66"/>
      <c r="AB41" s="66"/>
      <c r="AC41" s="66">
        <f t="shared" si="8"/>
        <v>0</v>
      </c>
      <c r="AD41" s="65"/>
      <c r="AE41" s="65"/>
      <c r="AF41" s="65">
        <f t="shared" si="9"/>
        <v>0</v>
      </c>
      <c r="AG41" s="66"/>
      <c r="AH41" s="66"/>
      <c r="AI41" s="66">
        <f t="shared" si="10"/>
        <v>0</v>
      </c>
      <c r="AJ41" s="65"/>
      <c r="AK41" s="65"/>
      <c r="AL41" s="65">
        <f t="shared" si="11"/>
        <v>0</v>
      </c>
      <c r="AM41" s="66"/>
      <c r="AN41" s="66"/>
      <c r="AO41" s="66">
        <f t="shared" ref="AO41" si="26">AM41+AN41</f>
        <v>0</v>
      </c>
    </row>
    <row r="42" spans="1:41" ht="18" thickBot="1" x14ac:dyDescent="0.35">
      <c r="A42" s="4" t="s">
        <v>12</v>
      </c>
      <c r="B42" s="16"/>
      <c r="C42" s="23">
        <f>C33+C40-1</f>
        <v>-503204.43000000034</v>
      </c>
      <c r="D42" s="23">
        <f>D33+D40</f>
        <v>280000</v>
      </c>
      <c r="F42" s="23">
        <f>F33+F40</f>
        <v>-292047.01999999996</v>
      </c>
      <c r="G42" s="23">
        <f t="shared" ref="G42:AL42" si="27">G33+G40</f>
        <v>-45147</v>
      </c>
      <c r="H42" s="23">
        <f t="shared" si="27"/>
        <v>-337193.01999999996</v>
      </c>
      <c r="I42" s="23">
        <f>I33+I40</f>
        <v>-78985.06</v>
      </c>
      <c r="J42" s="23">
        <f t="shared" si="27"/>
        <v>-430000</v>
      </c>
      <c r="K42" s="23">
        <f t="shared" si="27"/>
        <v>-508985.06</v>
      </c>
      <c r="L42" s="23">
        <f t="shared" si="27"/>
        <v>392605.08999999997</v>
      </c>
      <c r="M42" s="23">
        <f t="shared" si="27"/>
        <v>0</v>
      </c>
      <c r="N42" s="23">
        <f t="shared" si="27"/>
        <v>392605.08999999997</v>
      </c>
      <c r="O42" s="23">
        <f t="shared" si="27"/>
        <v>-1992</v>
      </c>
      <c r="P42" s="23">
        <f t="shared" si="27"/>
        <v>-145000</v>
      </c>
      <c r="Q42" s="23">
        <f t="shared" si="27"/>
        <v>-146992</v>
      </c>
      <c r="R42" s="23">
        <f t="shared" si="27"/>
        <v>92297</v>
      </c>
      <c r="S42" s="23">
        <f t="shared" si="27"/>
        <v>0</v>
      </c>
      <c r="T42" s="23">
        <f t="shared" si="27"/>
        <v>92297</v>
      </c>
      <c r="U42" s="23">
        <f t="shared" si="27"/>
        <v>13320.83</v>
      </c>
      <c r="V42" s="23">
        <f t="shared" si="27"/>
        <v>0</v>
      </c>
      <c r="W42" s="23">
        <f t="shared" si="27"/>
        <v>13320.83</v>
      </c>
      <c r="X42" s="23">
        <f t="shared" si="27"/>
        <v>-3632</v>
      </c>
      <c r="Y42" s="23">
        <f t="shared" si="27"/>
        <v>0</v>
      </c>
      <c r="Z42" s="23">
        <f t="shared" si="27"/>
        <v>-3632</v>
      </c>
      <c r="AA42" s="23">
        <f t="shared" si="27"/>
        <v>-302.98</v>
      </c>
      <c r="AB42" s="23">
        <f t="shared" si="27"/>
        <v>0</v>
      </c>
      <c r="AC42" s="23">
        <f t="shared" si="27"/>
        <v>-302.98</v>
      </c>
      <c r="AD42" s="23">
        <f t="shared" si="27"/>
        <v>-4239.29</v>
      </c>
      <c r="AE42" s="23">
        <f t="shared" si="27"/>
        <v>0</v>
      </c>
      <c r="AF42" s="23">
        <f t="shared" si="27"/>
        <v>-4239.29</v>
      </c>
      <c r="AG42" s="23">
        <f t="shared" si="27"/>
        <v>0</v>
      </c>
      <c r="AH42" s="23">
        <f t="shared" si="27"/>
        <v>0</v>
      </c>
      <c r="AI42" s="23">
        <f t="shared" si="27"/>
        <v>0</v>
      </c>
      <c r="AJ42" s="23">
        <f t="shared" si="27"/>
        <v>0</v>
      </c>
      <c r="AK42" s="23">
        <f t="shared" si="27"/>
        <v>0</v>
      </c>
      <c r="AL42" s="23">
        <f t="shared" si="27"/>
        <v>0</v>
      </c>
      <c r="AM42" s="23">
        <f t="shared" ref="AM42:AO42" si="28">AM33+AM40</f>
        <v>0</v>
      </c>
      <c r="AN42" s="23">
        <f t="shared" si="28"/>
        <v>0</v>
      </c>
      <c r="AO42" s="23">
        <f t="shared" si="28"/>
        <v>0</v>
      </c>
    </row>
    <row r="43" spans="1:41" ht="18" thickTop="1" x14ac:dyDescent="0.3">
      <c r="A43" s="15"/>
      <c r="B43" s="16"/>
      <c r="C43" s="24"/>
      <c r="D43" s="24"/>
      <c r="F43" s="65"/>
      <c r="G43" s="65"/>
      <c r="H43" s="65"/>
      <c r="I43" s="66"/>
      <c r="J43" s="66"/>
      <c r="K43" s="66"/>
      <c r="L43" s="65"/>
      <c r="M43" s="65"/>
      <c r="N43" s="65"/>
      <c r="O43" s="66"/>
      <c r="P43" s="66"/>
      <c r="Q43" s="66"/>
      <c r="R43" s="65"/>
      <c r="S43" s="65"/>
      <c r="T43" s="65"/>
      <c r="U43" s="66"/>
      <c r="V43" s="66"/>
      <c r="W43" s="66"/>
      <c r="X43" s="65"/>
      <c r="Y43" s="65"/>
      <c r="Z43" s="65"/>
      <c r="AA43" s="66"/>
      <c r="AB43" s="66"/>
      <c r="AC43" s="66"/>
      <c r="AD43" s="65"/>
      <c r="AE43" s="65"/>
      <c r="AF43" s="65"/>
      <c r="AG43" s="66"/>
      <c r="AH43" s="66"/>
      <c r="AI43" s="66"/>
      <c r="AJ43" s="65"/>
      <c r="AK43" s="65"/>
      <c r="AL43" s="65"/>
      <c r="AM43" s="66"/>
      <c r="AN43" s="66"/>
      <c r="AO43" s="66"/>
    </row>
    <row r="44" spans="1:41" ht="21.95" customHeight="1" x14ac:dyDescent="0.3">
      <c r="A44" s="15"/>
      <c r="B44" s="16"/>
      <c r="C44" s="24"/>
      <c r="D44" s="24"/>
      <c r="F44" s="65"/>
      <c r="G44" s="65"/>
      <c r="H44" s="65"/>
      <c r="I44" s="66"/>
      <c r="J44" s="66"/>
      <c r="K44" s="66"/>
      <c r="L44" s="65"/>
      <c r="M44" s="65"/>
      <c r="N44" s="65"/>
      <c r="O44" s="66"/>
      <c r="P44" s="66"/>
      <c r="Q44" s="66"/>
      <c r="R44" s="65"/>
      <c r="S44" s="65"/>
      <c r="T44" s="65"/>
      <c r="U44" s="66"/>
      <c r="V44" s="66"/>
      <c r="W44" s="66"/>
      <c r="X44" s="65"/>
      <c r="Y44" s="65"/>
      <c r="Z44" s="65"/>
      <c r="AA44" s="66"/>
      <c r="AB44" s="66"/>
      <c r="AC44" s="66"/>
      <c r="AD44" s="65"/>
      <c r="AE44" s="65"/>
      <c r="AF44" s="65"/>
      <c r="AG44" s="66"/>
      <c r="AH44" s="66"/>
      <c r="AI44" s="66"/>
      <c r="AJ44" s="65"/>
      <c r="AK44" s="65"/>
      <c r="AL44" s="65"/>
      <c r="AM44" s="66"/>
      <c r="AN44" s="66"/>
      <c r="AO44" s="66"/>
    </row>
    <row r="45" spans="1:41" ht="17.25" x14ac:dyDescent="0.3">
      <c r="A45" s="4" t="s">
        <v>13</v>
      </c>
      <c r="B45" s="25"/>
      <c r="C45" s="26"/>
      <c r="D45" s="26"/>
      <c r="F45" s="65"/>
      <c r="G45" s="65"/>
      <c r="H45" s="65"/>
      <c r="I45" s="66"/>
      <c r="J45" s="66"/>
      <c r="K45" s="66"/>
      <c r="L45" s="65"/>
      <c r="M45" s="65"/>
      <c r="N45" s="65"/>
      <c r="O45" s="66"/>
      <c r="P45" s="66"/>
      <c r="Q45" s="66"/>
      <c r="R45" s="65"/>
      <c r="S45" s="65"/>
      <c r="T45" s="65"/>
      <c r="U45" s="66"/>
      <c r="V45" s="66"/>
      <c r="W45" s="66"/>
      <c r="X45" s="65"/>
      <c r="Y45" s="65"/>
      <c r="Z45" s="65"/>
      <c r="AA45" s="66"/>
      <c r="AB45" s="66"/>
      <c r="AC45" s="66"/>
      <c r="AD45" s="65"/>
      <c r="AE45" s="65"/>
      <c r="AF45" s="65"/>
      <c r="AG45" s="66"/>
      <c r="AH45" s="66"/>
      <c r="AI45" s="66"/>
      <c r="AJ45" s="65"/>
      <c r="AK45" s="65"/>
      <c r="AL45" s="65"/>
      <c r="AM45" s="66"/>
      <c r="AN45" s="66"/>
      <c r="AO45" s="66"/>
    </row>
    <row r="46" spans="1:41" ht="17.25" x14ac:dyDescent="0.3">
      <c r="A46" s="15" t="s">
        <v>14</v>
      </c>
      <c r="B46" s="16"/>
      <c r="C46" s="14">
        <f>H46+K46+N46+Q46+T46+W46+Z46+AC46+AF46+AI46+AL46+AO46-83</f>
        <v>-503204.42999999993</v>
      </c>
      <c r="D46" s="27">
        <f>D42</f>
        <v>280000</v>
      </c>
      <c r="F46" s="27">
        <f>F42</f>
        <v>-292047.01999999996</v>
      </c>
      <c r="G46" s="27">
        <f t="shared" ref="G46:AL46" si="29">G42</f>
        <v>-45147</v>
      </c>
      <c r="H46" s="27">
        <f t="shared" si="29"/>
        <v>-337193.01999999996</v>
      </c>
      <c r="I46" s="27">
        <f t="shared" si="29"/>
        <v>-78985.06</v>
      </c>
      <c r="J46" s="27">
        <f t="shared" si="29"/>
        <v>-430000</v>
      </c>
      <c r="K46" s="27">
        <f t="shared" si="29"/>
        <v>-508985.06</v>
      </c>
      <c r="L46" s="27">
        <f t="shared" si="29"/>
        <v>392605.08999999997</v>
      </c>
      <c r="M46" s="27">
        <f t="shared" si="29"/>
        <v>0</v>
      </c>
      <c r="N46" s="27">
        <f>L46+M46</f>
        <v>392605.08999999997</v>
      </c>
      <c r="O46" s="27">
        <f t="shared" si="29"/>
        <v>-1992</v>
      </c>
      <c r="P46" s="27">
        <f t="shared" si="29"/>
        <v>-145000</v>
      </c>
      <c r="Q46" s="27">
        <f t="shared" si="29"/>
        <v>-146992</v>
      </c>
      <c r="R46" s="27">
        <f t="shared" si="29"/>
        <v>92297</v>
      </c>
      <c r="S46" s="27"/>
      <c r="T46" s="27">
        <f>R46+S46</f>
        <v>92297</v>
      </c>
      <c r="U46" s="27">
        <f t="shared" si="29"/>
        <v>13320.83</v>
      </c>
      <c r="V46" s="27">
        <f t="shared" si="29"/>
        <v>0</v>
      </c>
      <c r="W46" s="27">
        <f t="shared" si="29"/>
        <v>13320.83</v>
      </c>
      <c r="X46" s="27">
        <f t="shared" si="29"/>
        <v>-3632</v>
      </c>
      <c r="Y46" s="27">
        <f t="shared" si="29"/>
        <v>0</v>
      </c>
      <c r="Z46" s="27">
        <f t="shared" si="29"/>
        <v>-3632</v>
      </c>
      <c r="AA46" s="27">
        <f t="shared" si="29"/>
        <v>-302.98</v>
      </c>
      <c r="AB46" s="27">
        <f t="shared" si="29"/>
        <v>0</v>
      </c>
      <c r="AC46" s="27">
        <f t="shared" si="29"/>
        <v>-302.98</v>
      </c>
      <c r="AD46" s="27">
        <f t="shared" si="29"/>
        <v>-4239.29</v>
      </c>
      <c r="AE46" s="27">
        <f t="shared" si="29"/>
        <v>0</v>
      </c>
      <c r="AF46" s="27">
        <f t="shared" si="29"/>
        <v>-4239.29</v>
      </c>
      <c r="AG46" s="27">
        <f t="shared" si="29"/>
        <v>0</v>
      </c>
      <c r="AH46" s="27">
        <f t="shared" si="29"/>
        <v>0</v>
      </c>
      <c r="AI46" s="27">
        <f t="shared" si="29"/>
        <v>0</v>
      </c>
      <c r="AJ46" s="27">
        <f t="shared" si="29"/>
        <v>0</v>
      </c>
      <c r="AK46" s="27">
        <f t="shared" si="29"/>
        <v>0</v>
      </c>
      <c r="AL46" s="27">
        <f t="shared" si="29"/>
        <v>0</v>
      </c>
      <c r="AM46" s="27">
        <f t="shared" ref="AM46:AO46" si="30">AM42</f>
        <v>0</v>
      </c>
      <c r="AN46" s="27">
        <f t="shared" si="30"/>
        <v>0</v>
      </c>
      <c r="AO46" s="27">
        <f t="shared" si="30"/>
        <v>0</v>
      </c>
    </row>
    <row r="47" spans="1:41" ht="18.95" customHeight="1" thickBot="1" x14ac:dyDescent="0.35">
      <c r="A47" s="4" t="s">
        <v>15</v>
      </c>
      <c r="B47" s="16"/>
      <c r="C47" s="23">
        <f>SUM(C46:C46)</f>
        <v>-503204.42999999993</v>
      </c>
      <c r="D47" s="23">
        <f>D42</f>
        <v>280000</v>
      </c>
      <c r="F47" s="23">
        <f t="shared" ref="F47:AL47" si="31">SUM(F46:F46)</f>
        <v>-292047.01999999996</v>
      </c>
      <c r="G47" s="23">
        <f t="shared" si="31"/>
        <v>-45147</v>
      </c>
      <c r="H47" s="23">
        <f t="shared" si="31"/>
        <v>-337193.01999999996</v>
      </c>
      <c r="I47" s="23">
        <f t="shared" si="31"/>
        <v>-78985.06</v>
      </c>
      <c r="J47" s="23">
        <f t="shared" si="31"/>
        <v>-430000</v>
      </c>
      <c r="K47" s="23">
        <f t="shared" si="31"/>
        <v>-508985.06</v>
      </c>
      <c r="L47" s="23">
        <f t="shared" si="31"/>
        <v>392605.08999999997</v>
      </c>
      <c r="M47" s="23">
        <f t="shared" si="31"/>
        <v>0</v>
      </c>
      <c r="N47" s="23">
        <f t="shared" si="31"/>
        <v>392605.08999999997</v>
      </c>
      <c r="O47" s="23">
        <f t="shared" si="31"/>
        <v>-1992</v>
      </c>
      <c r="P47" s="23">
        <f t="shared" si="31"/>
        <v>-145000</v>
      </c>
      <c r="Q47" s="23">
        <f t="shared" si="31"/>
        <v>-146992</v>
      </c>
      <c r="R47" s="23">
        <f t="shared" si="31"/>
        <v>92297</v>
      </c>
      <c r="S47" s="23">
        <f t="shared" si="31"/>
        <v>0</v>
      </c>
      <c r="T47" s="23">
        <f t="shared" si="31"/>
        <v>92297</v>
      </c>
      <c r="U47" s="23">
        <f t="shared" si="31"/>
        <v>13320.83</v>
      </c>
      <c r="V47" s="23">
        <f t="shared" si="31"/>
        <v>0</v>
      </c>
      <c r="W47" s="23">
        <f t="shared" si="31"/>
        <v>13320.83</v>
      </c>
      <c r="X47" s="23">
        <f t="shared" si="31"/>
        <v>-3632</v>
      </c>
      <c r="Y47" s="23">
        <f t="shared" si="31"/>
        <v>0</v>
      </c>
      <c r="Z47" s="23">
        <f t="shared" si="31"/>
        <v>-3632</v>
      </c>
      <c r="AA47" s="23">
        <f t="shared" si="31"/>
        <v>-302.98</v>
      </c>
      <c r="AB47" s="23">
        <f t="shared" si="31"/>
        <v>0</v>
      </c>
      <c r="AC47" s="23">
        <f t="shared" si="31"/>
        <v>-302.98</v>
      </c>
      <c r="AD47" s="23">
        <f t="shared" si="31"/>
        <v>-4239.29</v>
      </c>
      <c r="AE47" s="23">
        <f t="shared" si="31"/>
        <v>0</v>
      </c>
      <c r="AF47" s="23">
        <f t="shared" si="31"/>
        <v>-4239.29</v>
      </c>
      <c r="AG47" s="23">
        <f t="shared" si="31"/>
        <v>0</v>
      </c>
      <c r="AH47" s="23">
        <f t="shared" si="31"/>
        <v>0</v>
      </c>
      <c r="AI47" s="23">
        <f t="shared" si="31"/>
        <v>0</v>
      </c>
      <c r="AJ47" s="23">
        <f t="shared" si="31"/>
        <v>0</v>
      </c>
      <c r="AK47" s="23">
        <f t="shared" si="31"/>
        <v>0</v>
      </c>
      <c r="AL47" s="23">
        <f t="shared" si="31"/>
        <v>0</v>
      </c>
      <c r="AM47" s="23">
        <f t="shared" ref="AM47:AO47" si="32">SUM(AM46:AM46)</f>
        <v>0</v>
      </c>
      <c r="AN47" s="23">
        <f t="shared" si="32"/>
        <v>0</v>
      </c>
      <c r="AO47" s="23">
        <f t="shared" si="32"/>
        <v>0</v>
      </c>
    </row>
    <row r="48" spans="1:41" ht="18.95" customHeight="1" thickTop="1" x14ac:dyDescent="0.3">
      <c r="A48" s="4"/>
      <c r="B48" s="16"/>
      <c r="C48" s="28"/>
      <c r="D48" s="29"/>
      <c r="F48" s="65"/>
      <c r="G48" s="65"/>
      <c r="H48" s="65"/>
      <c r="I48" s="66"/>
      <c r="J48" s="66"/>
      <c r="K48" s="66"/>
      <c r="L48" s="65"/>
      <c r="M48" s="65"/>
      <c r="N48" s="65"/>
      <c r="O48" s="66"/>
      <c r="P48" s="66"/>
      <c r="Q48" s="66"/>
      <c r="R48" s="65"/>
      <c r="S48" s="65"/>
      <c r="T48" s="65"/>
      <c r="U48" s="66"/>
      <c r="V48" s="66"/>
      <c r="W48" s="66"/>
      <c r="X48" s="65"/>
      <c r="Y48" s="65"/>
      <c r="Z48" s="65"/>
      <c r="AA48" s="66"/>
      <c r="AB48" s="66"/>
      <c r="AC48" s="66"/>
      <c r="AD48" s="65"/>
      <c r="AE48" s="65"/>
      <c r="AF48" s="65"/>
      <c r="AG48" s="66"/>
      <c r="AH48" s="66"/>
      <c r="AI48" s="66"/>
      <c r="AJ48" s="65"/>
      <c r="AK48" s="65"/>
      <c r="AL48" s="65"/>
      <c r="AM48" s="66"/>
      <c r="AN48" s="66"/>
      <c r="AO48" s="66"/>
    </row>
    <row r="49" spans="1:41" ht="18.95" customHeight="1" x14ac:dyDescent="0.3">
      <c r="A49" s="4"/>
      <c r="B49" s="16"/>
      <c r="C49" s="28"/>
      <c r="D49" s="29"/>
      <c r="F49" s="65"/>
      <c r="G49" s="65"/>
      <c r="H49" s="65"/>
      <c r="I49" s="66"/>
      <c r="J49" s="66"/>
      <c r="K49" s="66"/>
      <c r="L49" s="65"/>
      <c r="M49" s="65"/>
      <c r="N49" s="65"/>
      <c r="O49" s="66"/>
      <c r="P49" s="66"/>
      <c r="Q49" s="66"/>
      <c r="R49" s="65"/>
      <c r="S49" s="65"/>
      <c r="T49" s="65"/>
      <c r="U49" s="66"/>
      <c r="V49" s="66"/>
      <c r="W49" s="66"/>
      <c r="X49" s="65"/>
      <c r="Y49" s="65"/>
      <c r="Z49" s="65"/>
      <c r="AA49" s="66"/>
      <c r="AB49" s="66"/>
      <c r="AC49" s="66"/>
      <c r="AD49" s="65"/>
      <c r="AE49" s="65"/>
      <c r="AF49" s="65"/>
      <c r="AG49" s="66"/>
      <c r="AH49" s="66"/>
      <c r="AI49" s="66"/>
      <c r="AJ49" s="65"/>
      <c r="AK49" s="65"/>
      <c r="AL49" s="65"/>
      <c r="AM49" s="66"/>
      <c r="AN49" s="66"/>
      <c r="AO49" s="66"/>
    </row>
    <row r="50" spans="1:41" ht="30" customHeight="1" x14ac:dyDescent="0.4">
      <c r="A50" s="1" t="str">
        <f>A1</f>
        <v>Otta Idrettslag - med undergrupper</v>
      </c>
      <c r="B50" s="16"/>
      <c r="C50" s="28"/>
      <c r="D50" s="29"/>
      <c r="F50" s="65"/>
      <c r="G50" s="65"/>
      <c r="H50" s="65"/>
      <c r="I50" s="66"/>
      <c r="J50" s="66"/>
      <c r="K50" s="66"/>
      <c r="L50" s="65"/>
      <c r="M50" s="65"/>
      <c r="N50" s="65"/>
      <c r="O50" s="66"/>
      <c r="P50" s="66"/>
      <c r="Q50" s="66"/>
      <c r="R50" s="65"/>
      <c r="S50" s="65"/>
      <c r="T50" s="65"/>
      <c r="U50" s="66"/>
      <c r="V50" s="66"/>
      <c r="W50" s="66"/>
      <c r="X50" s="65"/>
      <c r="Y50" s="65"/>
      <c r="Z50" s="65"/>
      <c r="AA50" s="66"/>
      <c r="AB50" s="66"/>
      <c r="AC50" s="66"/>
      <c r="AD50" s="65"/>
      <c r="AE50" s="65"/>
      <c r="AF50" s="65"/>
      <c r="AG50" s="66"/>
      <c r="AH50" s="66"/>
      <c r="AI50" s="66"/>
      <c r="AJ50" s="65"/>
      <c r="AK50" s="65"/>
      <c r="AL50" s="65"/>
      <c r="AM50" s="66"/>
      <c r="AN50" s="66"/>
      <c r="AO50" s="66"/>
    </row>
    <row r="51" spans="1:41" x14ac:dyDescent="0.2">
      <c r="A51" s="15"/>
      <c r="B51" s="5"/>
      <c r="C51" s="14"/>
      <c r="D51" s="14"/>
      <c r="F51" s="65"/>
      <c r="G51" s="65"/>
      <c r="H51" s="65"/>
      <c r="I51" s="66"/>
      <c r="J51" s="66"/>
      <c r="K51" s="66"/>
      <c r="L51" s="65"/>
      <c r="M51" s="65"/>
      <c r="N51" s="65"/>
      <c r="O51" s="66"/>
      <c r="P51" s="66"/>
      <c r="Q51" s="66"/>
      <c r="R51" s="65"/>
      <c r="S51" s="65"/>
      <c r="T51" s="65"/>
      <c r="U51" s="66"/>
      <c r="V51" s="66"/>
      <c r="W51" s="66"/>
      <c r="X51" s="65"/>
      <c r="Y51" s="65"/>
      <c r="Z51" s="65"/>
      <c r="AA51" s="66"/>
      <c r="AB51" s="66"/>
      <c r="AC51" s="66"/>
      <c r="AD51" s="65"/>
      <c r="AE51" s="65"/>
      <c r="AF51" s="65"/>
      <c r="AG51" s="66"/>
      <c r="AH51" s="66"/>
      <c r="AI51" s="66"/>
      <c r="AJ51" s="65"/>
      <c r="AK51" s="65"/>
      <c r="AL51" s="65"/>
      <c r="AM51" s="66"/>
      <c r="AN51" s="66"/>
      <c r="AO51" s="66"/>
    </row>
    <row r="52" spans="1:41" x14ac:dyDescent="0.2">
      <c r="A52" s="4" t="s">
        <v>16</v>
      </c>
      <c r="B52" s="5"/>
      <c r="C52" s="30"/>
      <c r="D52" s="30"/>
      <c r="F52" s="65"/>
      <c r="G52" s="65"/>
      <c r="H52" s="65"/>
      <c r="I52" s="66"/>
      <c r="J52" s="66"/>
      <c r="K52" s="66"/>
      <c r="L52" s="65"/>
      <c r="M52" s="65"/>
      <c r="N52" s="65"/>
      <c r="O52" s="66"/>
      <c r="P52" s="66"/>
      <c r="Q52" s="66"/>
      <c r="R52" s="65"/>
      <c r="S52" s="65"/>
      <c r="T52" s="65"/>
      <c r="U52" s="66"/>
      <c r="V52" s="66"/>
      <c r="W52" s="66"/>
      <c r="X52" s="65"/>
      <c r="Y52" s="65"/>
      <c r="Z52" s="65"/>
      <c r="AA52" s="66"/>
      <c r="AB52" s="66"/>
      <c r="AC52" s="66"/>
      <c r="AD52" s="65"/>
      <c r="AE52" s="65"/>
      <c r="AF52" s="65"/>
      <c r="AG52" s="66"/>
      <c r="AH52" s="66"/>
      <c r="AI52" s="66"/>
      <c r="AJ52" s="65"/>
      <c r="AK52" s="65"/>
      <c r="AL52" s="65"/>
      <c r="AM52" s="66"/>
      <c r="AN52" s="66"/>
      <c r="AO52" s="66"/>
    </row>
    <row r="53" spans="1:41" x14ac:dyDescent="0.2">
      <c r="A53" s="31"/>
      <c r="B53" s="32"/>
      <c r="C53" s="33">
        <f>C4</f>
        <v>2010</v>
      </c>
      <c r="D53" s="34"/>
      <c r="F53" s="65"/>
      <c r="G53" s="65"/>
      <c r="H53" s="65"/>
      <c r="I53" s="66"/>
      <c r="J53" s="66"/>
      <c r="K53" s="66"/>
      <c r="L53" s="65"/>
      <c r="M53" s="65"/>
      <c r="N53" s="65"/>
      <c r="O53" s="66"/>
      <c r="P53" s="66"/>
      <c r="Q53" s="66"/>
      <c r="R53" s="65"/>
      <c r="S53" s="65"/>
      <c r="T53" s="65"/>
      <c r="U53" s="66"/>
      <c r="V53" s="66"/>
      <c r="W53" s="66"/>
      <c r="X53" s="65"/>
      <c r="Y53" s="65"/>
      <c r="Z53" s="65"/>
      <c r="AA53" s="66"/>
      <c r="AB53" s="66"/>
      <c r="AC53" s="66"/>
      <c r="AD53" s="65"/>
      <c r="AE53" s="65"/>
      <c r="AF53" s="65"/>
      <c r="AG53" s="66"/>
      <c r="AH53" s="66"/>
      <c r="AI53" s="66"/>
      <c r="AJ53" s="65"/>
      <c r="AK53" s="65"/>
      <c r="AL53" s="65"/>
      <c r="AM53" s="66"/>
      <c r="AN53" s="66"/>
      <c r="AO53" s="66"/>
    </row>
    <row r="54" spans="1:41" ht="15.75" x14ac:dyDescent="0.25">
      <c r="A54" s="35" t="s">
        <v>17</v>
      </c>
      <c r="B54" s="36" t="s">
        <v>4</v>
      </c>
      <c r="C54" s="37"/>
      <c r="D54" s="38"/>
      <c r="F54" s="65"/>
      <c r="G54" s="65"/>
      <c r="H54" s="65"/>
      <c r="I54" s="66"/>
      <c r="J54" s="66"/>
      <c r="K54" s="66"/>
      <c r="L54" s="65"/>
      <c r="M54" s="65"/>
      <c r="N54" s="65"/>
      <c r="O54" s="66"/>
      <c r="P54" s="66"/>
      <c r="Q54" s="66"/>
      <c r="R54" s="65"/>
      <c r="S54" s="65"/>
      <c r="T54" s="65"/>
      <c r="U54" s="66"/>
      <c r="V54" s="66"/>
      <c r="W54" s="66"/>
      <c r="X54" s="65"/>
      <c r="Y54" s="65"/>
      <c r="Z54" s="65"/>
      <c r="AA54" s="66"/>
      <c r="AB54" s="66"/>
      <c r="AC54" s="66"/>
      <c r="AD54" s="65"/>
      <c r="AE54" s="65"/>
      <c r="AF54" s="65"/>
      <c r="AG54" s="66"/>
      <c r="AH54" s="66"/>
      <c r="AI54" s="66"/>
      <c r="AJ54" s="65"/>
      <c r="AK54" s="65"/>
      <c r="AL54" s="65"/>
      <c r="AM54" s="66"/>
      <c r="AN54" s="66"/>
      <c r="AO54" s="66"/>
    </row>
    <row r="55" spans="1:41" ht="19.5" customHeight="1" x14ac:dyDescent="0.25">
      <c r="A55" s="39"/>
      <c r="B55" s="40"/>
      <c r="C55" s="41"/>
      <c r="D55" s="38"/>
      <c r="F55" s="65"/>
      <c r="G55" s="65"/>
      <c r="H55" s="65"/>
      <c r="I55" s="66"/>
      <c r="J55" s="66"/>
      <c r="K55" s="66"/>
      <c r="L55" s="65"/>
      <c r="M55" s="65"/>
      <c r="N55" s="65"/>
      <c r="O55" s="66"/>
      <c r="P55" s="66"/>
      <c r="Q55" s="66"/>
      <c r="R55" s="65"/>
      <c r="S55" s="65"/>
      <c r="T55" s="65"/>
      <c r="U55" s="66"/>
      <c r="V55" s="66"/>
      <c r="W55" s="66"/>
      <c r="X55" s="65"/>
      <c r="Y55" s="65"/>
      <c r="Z55" s="65"/>
      <c r="AA55" s="66"/>
      <c r="AB55" s="66"/>
      <c r="AC55" s="66"/>
      <c r="AD55" s="65"/>
      <c r="AE55" s="65"/>
      <c r="AF55" s="65"/>
      <c r="AG55" s="66"/>
      <c r="AH55" s="66"/>
      <c r="AI55" s="66"/>
      <c r="AJ55" s="65"/>
      <c r="AK55" s="65"/>
      <c r="AL55" s="65"/>
      <c r="AM55" s="66"/>
      <c r="AN55" s="66"/>
      <c r="AO55" s="66"/>
    </row>
    <row r="56" spans="1:41" ht="15.75" x14ac:dyDescent="0.25">
      <c r="A56" s="4" t="s">
        <v>18</v>
      </c>
      <c r="B56" s="16"/>
      <c r="C56" s="41"/>
      <c r="D56" s="42"/>
      <c r="F56" s="65"/>
      <c r="G56" s="65"/>
      <c r="H56" s="65"/>
      <c r="I56" s="66"/>
      <c r="J56" s="66"/>
      <c r="K56" s="66"/>
      <c r="L56" s="65"/>
      <c r="M56" s="65"/>
      <c r="N56" s="65"/>
      <c r="O56" s="66"/>
      <c r="P56" s="66"/>
      <c r="Q56" s="66"/>
      <c r="R56" s="65"/>
      <c r="S56" s="65"/>
      <c r="T56" s="65"/>
      <c r="U56" s="66"/>
      <c r="V56" s="66"/>
      <c r="W56" s="66"/>
      <c r="X56" s="65"/>
      <c r="Y56" s="65"/>
      <c r="Z56" s="65"/>
      <c r="AA56" s="66"/>
      <c r="AB56" s="66"/>
      <c r="AC56" s="66"/>
      <c r="AD56" s="65"/>
      <c r="AE56" s="65"/>
      <c r="AF56" s="65"/>
      <c r="AG56" s="66"/>
      <c r="AH56" s="66"/>
      <c r="AI56" s="66"/>
      <c r="AJ56" s="65"/>
      <c r="AK56" s="65"/>
      <c r="AL56" s="65"/>
      <c r="AM56" s="66"/>
      <c r="AN56" s="66"/>
      <c r="AO56" s="66"/>
    </row>
    <row r="57" spans="1:41" ht="14.1" customHeight="1" x14ac:dyDescent="0.3">
      <c r="A57" s="15"/>
      <c r="B57" s="16"/>
      <c r="C57" s="41"/>
      <c r="D57" s="28"/>
      <c r="F57" s="65"/>
      <c r="G57" s="65"/>
      <c r="H57" s="65"/>
      <c r="I57" s="66"/>
      <c r="J57" s="66"/>
      <c r="K57" s="66"/>
      <c r="L57" s="65"/>
      <c r="M57" s="65"/>
      <c r="N57" s="65"/>
      <c r="O57" s="66"/>
      <c r="P57" s="66"/>
      <c r="Q57" s="66"/>
      <c r="R57" s="65"/>
      <c r="S57" s="65"/>
      <c r="T57" s="65"/>
      <c r="U57" s="66"/>
      <c r="V57" s="66"/>
      <c r="W57" s="66"/>
      <c r="X57" s="65"/>
      <c r="Y57" s="65"/>
      <c r="Z57" s="65"/>
      <c r="AA57" s="66"/>
      <c r="AB57" s="66"/>
      <c r="AC57" s="66"/>
      <c r="AD57" s="65"/>
      <c r="AE57" s="65"/>
      <c r="AF57" s="65"/>
      <c r="AG57" s="66"/>
      <c r="AH57" s="66"/>
      <c r="AI57" s="66"/>
      <c r="AJ57" s="65"/>
      <c r="AK57" s="65"/>
      <c r="AL57" s="65"/>
      <c r="AM57" s="66"/>
      <c r="AN57" s="66"/>
      <c r="AO57" s="66"/>
    </row>
    <row r="58" spans="1:41" ht="15.75" x14ac:dyDescent="0.25">
      <c r="A58" s="70" t="s">
        <v>70</v>
      </c>
      <c r="B58" s="16"/>
      <c r="C58" s="41"/>
      <c r="D58" s="42"/>
      <c r="F58" s="65"/>
      <c r="G58" s="65"/>
      <c r="H58" s="65"/>
      <c r="I58" s="66"/>
      <c r="J58" s="66"/>
      <c r="K58" s="66"/>
      <c r="L58" s="65"/>
      <c r="M58" s="65"/>
      <c r="N58" s="65"/>
      <c r="O58" s="66"/>
      <c r="P58" s="66"/>
      <c r="Q58" s="66"/>
      <c r="R58" s="65"/>
      <c r="S58" s="65"/>
      <c r="T58" s="65"/>
      <c r="U58" s="66"/>
      <c r="V58" s="66"/>
      <c r="W58" s="66"/>
      <c r="X58" s="65"/>
      <c r="Y58" s="65"/>
      <c r="Z58" s="65"/>
      <c r="AA58" s="66"/>
      <c r="AB58" s="66"/>
      <c r="AC58" s="66"/>
      <c r="AD58" s="65"/>
      <c r="AE58" s="65"/>
      <c r="AF58" s="65"/>
      <c r="AG58" s="66"/>
      <c r="AH58" s="66"/>
      <c r="AI58" s="66"/>
      <c r="AJ58" s="65"/>
      <c r="AK58" s="65"/>
      <c r="AL58" s="65"/>
      <c r="AM58" s="66"/>
      <c r="AN58" s="66"/>
      <c r="AO58" s="66"/>
    </row>
    <row r="59" spans="1:41" ht="15.75" x14ac:dyDescent="0.25">
      <c r="A59" s="68" t="s">
        <v>66</v>
      </c>
      <c r="B59" s="16"/>
      <c r="C59" s="14">
        <f>H59+K59+N59+Q59+T59+W59+Z59+AC59+AF59+AI59+AL59+AO59</f>
        <v>2009000</v>
      </c>
      <c r="D59" s="42"/>
      <c r="F59" s="65">
        <v>2009000</v>
      </c>
      <c r="G59" s="65"/>
      <c r="H59" s="65">
        <f t="shared" ref="H59:H96" si="33">F59+G59</f>
        <v>2009000</v>
      </c>
      <c r="I59" s="66"/>
      <c r="J59" s="66"/>
      <c r="K59" s="66">
        <f t="shared" ref="K59:K96" si="34">I59+J59</f>
        <v>0</v>
      </c>
      <c r="L59" s="65"/>
      <c r="M59" s="65"/>
      <c r="N59" s="65">
        <f t="shared" ref="N59:N96" si="35">L59+M59</f>
        <v>0</v>
      </c>
      <c r="O59" s="66"/>
      <c r="P59" s="66"/>
      <c r="Q59" s="66">
        <f t="shared" ref="Q59:Q96" si="36">O59+P59</f>
        <v>0</v>
      </c>
      <c r="R59" s="65"/>
      <c r="S59" s="65"/>
      <c r="T59" s="65">
        <f t="shared" ref="T59:T96" si="37">R59+S59</f>
        <v>0</v>
      </c>
      <c r="U59" s="66"/>
      <c r="V59" s="66"/>
      <c r="W59" s="66">
        <f t="shared" ref="W59:W96" si="38">U59+V59</f>
        <v>0</v>
      </c>
      <c r="X59" s="65"/>
      <c r="Y59" s="65"/>
      <c r="Z59" s="65">
        <f t="shared" ref="Z59:Z96" si="39">X59+Y59</f>
        <v>0</v>
      </c>
      <c r="AA59" s="66"/>
      <c r="AB59" s="66"/>
      <c r="AC59" s="66">
        <f t="shared" ref="AC59:AC96" si="40">AA59+AB59</f>
        <v>0</v>
      </c>
      <c r="AD59" s="65"/>
      <c r="AE59" s="65"/>
      <c r="AF59" s="65">
        <f t="shared" ref="AF59:AF96" si="41">AD59+AE59</f>
        <v>0</v>
      </c>
      <c r="AG59" s="66"/>
      <c r="AH59" s="66"/>
      <c r="AI59" s="66">
        <f t="shared" ref="AI59:AI96" si="42">AG59+AH59</f>
        <v>0</v>
      </c>
      <c r="AJ59" s="65"/>
      <c r="AK59" s="65"/>
      <c r="AL59" s="65">
        <f t="shared" ref="AL59:AL96" si="43">AJ59+AK59</f>
        <v>0</v>
      </c>
      <c r="AM59" s="66"/>
      <c r="AN59" s="66"/>
      <c r="AO59" s="66">
        <f t="shared" ref="AO59:AO60" si="44">AM59+AN59</f>
        <v>0</v>
      </c>
    </row>
    <row r="60" spans="1:41" ht="17.25" x14ac:dyDescent="0.3">
      <c r="A60" s="68" t="s">
        <v>67</v>
      </c>
      <c r="B60" s="16"/>
      <c r="C60" s="14">
        <f>H60+K60+N60+Q60+T60+W60+Z60+AC60+AF60+AI60+AL60+AO60</f>
        <v>26200</v>
      </c>
      <c r="D60" s="24"/>
      <c r="F60" s="65">
        <v>2000</v>
      </c>
      <c r="G60" s="65"/>
      <c r="H60" s="65">
        <f t="shared" si="33"/>
        <v>2000</v>
      </c>
      <c r="I60" s="66">
        <v>24200</v>
      </c>
      <c r="J60" s="66"/>
      <c r="K60" s="66">
        <f t="shared" si="34"/>
        <v>24200</v>
      </c>
      <c r="L60" s="65"/>
      <c r="M60" s="65"/>
      <c r="N60" s="65">
        <f t="shared" si="35"/>
        <v>0</v>
      </c>
      <c r="O60" s="66"/>
      <c r="P60" s="66"/>
      <c r="Q60" s="66">
        <f t="shared" si="36"/>
        <v>0</v>
      </c>
      <c r="R60" s="65"/>
      <c r="S60" s="65"/>
      <c r="T60" s="65">
        <f t="shared" si="37"/>
        <v>0</v>
      </c>
      <c r="U60" s="66"/>
      <c r="V60" s="66"/>
      <c r="W60" s="66">
        <f t="shared" si="38"/>
        <v>0</v>
      </c>
      <c r="X60" s="65"/>
      <c r="Y60" s="65"/>
      <c r="Z60" s="65">
        <f t="shared" si="39"/>
        <v>0</v>
      </c>
      <c r="AA60" s="66"/>
      <c r="AB60" s="66"/>
      <c r="AC60" s="66">
        <f t="shared" si="40"/>
        <v>0</v>
      </c>
      <c r="AD60" s="65"/>
      <c r="AE60" s="65"/>
      <c r="AF60" s="65">
        <f t="shared" si="41"/>
        <v>0</v>
      </c>
      <c r="AG60" s="66"/>
      <c r="AH60" s="66"/>
      <c r="AI60" s="66">
        <f t="shared" si="42"/>
        <v>0</v>
      </c>
      <c r="AJ60" s="65"/>
      <c r="AK60" s="65"/>
      <c r="AL60" s="65">
        <f t="shared" si="43"/>
        <v>0</v>
      </c>
      <c r="AM60" s="66"/>
      <c r="AN60" s="66"/>
      <c r="AO60" s="66">
        <f t="shared" si="44"/>
        <v>0</v>
      </c>
    </row>
    <row r="61" spans="1:41" ht="17.25" x14ac:dyDescent="0.3">
      <c r="A61" s="4" t="s">
        <v>19</v>
      </c>
      <c r="B61" s="16"/>
      <c r="C61" s="17">
        <f>SUM(C59:C60)</f>
        <v>2035200</v>
      </c>
      <c r="D61" s="28"/>
      <c r="F61" s="17">
        <f>SUM(F59:F60)</f>
        <v>2011000</v>
      </c>
      <c r="G61" s="17">
        <f t="shared" ref="G61:AL61" si="45">SUM(G59:G60)</f>
        <v>0</v>
      </c>
      <c r="H61" s="17">
        <f t="shared" si="45"/>
        <v>2011000</v>
      </c>
      <c r="I61" s="17">
        <f t="shared" si="45"/>
        <v>24200</v>
      </c>
      <c r="J61" s="17">
        <f t="shared" si="45"/>
        <v>0</v>
      </c>
      <c r="K61" s="17">
        <f t="shared" si="45"/>
        <v>24200</v>
      </c>
      <c r="L61" s="17">
        <f t="shared" si="45"/>
        <v>0</v>
      </c>
      <c r="M61" s="17">
        <f t="shared" si="45"/>
        <v>0</v>
      </c>
      <c r="N61" s="17">
        <f t="shared" si="45"/>
        <v>0</v>
      </c>
      <c r="O61" s="17">
        <f t="shared" si="45"/>
        <v>0</v>
      </c>
      <c r="P61" s="17">
        <f t="shared" si="45"/>
        <v>0</v>
      </c>
      <c r="Q61" s="17">
        <f t="shared" si="45"/>
        <v>0</v>
      </c>
      <c r="R61" s="17">
        <f t="shared" si="45"/>
        <v>0</v>
      </c>
      <c r="S61" s="17">
        <f t="shared" si="45"/>
        <v>0</v>
      </c>
      <c r="T61" s="17">
        <f t="shared" si="45"/>
        <v>0</v>
      </c>
      <c r="U61" s="17">
        <f t="shared" si="45"/>
        <v>0</v>
      </c>
      <c r="V61" s="17">
        <f t="shared" si="45"/>
        <v>0</v>
      </c>
      <c r="W61" s="17">
        <f t="shared" si="45"/>
        <v>0</v>
      </c>
      <c r="X61" s="17">
        <f t="shared" si="45"/>
        <v>0</v>
      </c>
      <c r="Y61" s="17">
        <f t="shared" si="45"/>
        <v>0</v>
      </c>
      <c r="Z61" s="17">
        <f t="shared" si="45"/>
        <v>0</v>
      </c>
      <c r="AA61" s="17">
        <f t="shared" si="45"/>
        <v>0</v>
      </c>
      <c r="AB61" s="17">
        <f t="shared" si="45"/>
        <v>0</v>
      </c>
      <c r="AC61" s="17">
        <f t="shared" si="45"/>
        <v>0</v>
      </c>
      <c r="AD61" s="17">
        <f t="shared" si="45"/>
        <v>0</v>
      </c>
      <c r="AE61" s="17">
        <f t="shared" si="45"/>
        <v>0</v>
      </c>
      <c r="AF61" s="17">
        <f t="shared" si="45"/>
        <v>0</v>
      </c>
      <c r="AG61" s="17">
        <f t="shared" si="45"/>
        <v>0</v>
      </c>
      <c r="AH61" s="17">
        <f t="shared" si="45"/>
        <v>0</v>
      </c>
      <c r="AI61" s="17">
        <f t="shared" si="45"/>
        <v>0</v>
      </c>
      <c r="AJ61" s="17">
        <f t="shared" si="45"/>
        <v>0</v>
      </c>
      <c r="AK61" s="17">
        <f t="shared" si="45"/>
        <v>0</v>
      </c>
      <c r="AL61" s="17">
        <f t="shared" si="45"/>
        <v>0</v>
      </c>
      <c r="AM61" s="17">
        <f t="shared" ref="AM61:AO61" si="46">SUM(AM59:AM60)</f>
        <v>0</v>
      </c>
      <c r="AN61" s="17">
        <f t="shared" si="46"/>
        <v>0</v>
      </c>
      <c r="AO61" s="17">
        <f t="shared" si="46"/>
        <v>0</v>
      </c>
    </row>
    <row r="62" spans="1:41" ht="17.25" x14ac:dyDescent="0.3">
      <c r="A62" s="4"/>
      <c r="B62" s="16"/>
      <c r="C62" s="19"/>
      <c r="D62" s="28"/>
      <c r="F62" s="65"/>
      <c r="G62" s="65"/>
      <c r="H62" s="65"/>
      <c r="I62" s="66"/>
      <c r="J62" s="66"/>
      <c r="K62" s="66"/>
      <c r="L62" s="65"/>
      <c r="M62" s="65"/>
      <c r="N62" s="65"/>
      <c r="O62" s="66"/>
      <c r="P62" s="66"/>
      <c r="Q62" s="66"/>
      <c r="R62" s="65"/>
      <c r="S62" s="65"/>
      <c r="T62" s="65"/>
      <c r="U62" s="66"/>
      <c r="V62" s="66"/>
      <c r="W62" s="66"/>
      <c r="X62" s="65"/>
      <c r="Y62" s="65"/>
      <c r="Z62" s="65"/>
      <c r="AA62" s="66"/>
      <c r="AB62" s="66"/>
      <c r="AC62" s="66"/>
      <c r="AD62" s="65"/>
      <c r="AE62" s="65"/>
      <c r="AF62" s="65"/>
      <c r="AG62" s="66"/>
      <c r="AH62" s="66"/>
      <c r="AI62" s="66"/>
      <c r="AJ62" s="65"/>
      <c r="AK62" s="65"/>
      <c r="AL62" s="65"/>
      <c r="AM62" s="66"/>
      <c r="AN62" s="66"/>
      <c r="AO62" s="66"/>
    </row>
    <row r="63" spans="1:41" ht="17.25" x14ac:dyDescent="0.3">
      <c r="A63" s="70" t="s">
        <v>71</v>
      </c>
      <c r="B63" s="16"/>
      <c r="C63" s="19"/>
      <c r="D63" s="28"/>
      <c r="F63" s="65"/>
      <c r="G63" s="65"/>
      <c r="H63" s="65"/>
      <c r="I63" s="66"/>
      <c r="J63" s="66"/>
      <c r="K63" s="66"/>
      <c r="L63" s="65"/>
      <c r="M63" s="65"/>
      <c r="N63" s="65"/>
      <c r="O63" s="66"/>
      <c r="P63" s="66"/>
      <c r="Q63" s="66"/>
      <c r="R63" s="65"/>
      <c r="S63" s="65"/>
      <c r="T63" s="65"/>
      <c r="U63" s="66"/>
      <c r="V63" s="66"/>
      <c r="W63" s="66"/>
      <c r="X63" s="65"/>
      <c r="Y63" s="65"/>
      <c r="Z63" s="65"/>
      <c r="AA63" s="66"/>
      <c r="AB63" s="66"/>
      <c r="AC63" s="66"/>
      <c r="AD63" s="65"/>
      <c r="AE63" s="65"/>
      <c r="AF63" s="65"/>
      <c r="AG63" s="66"/>
      <c r="AH63" s="66"/>
      <c r="AI63" s="66"/>
      <c r="AJ63" s="65"/>
      <c r="AK63" s="65"/>
      <c r="AL63" s="65"/>
      <c r="AM63" s="66"/>
      <c r="AN63" s="66"/>
      <c r="AO63" s="66"/>
    </row>
    <row r="64" spans="1:41" ht="17.25" x14ac:dyDescent="0.3">
      <c r="A64" s="68" t="s">
        <v>72</v>
      </c>
      <c r="B64" s="16"/>
      <c r="C64" s="14">
        <f>H64+K64+N64+Q64+T64+W64+Z64+AC64+AF64+AI64+AL64+AO64</f>
        <v>231008</v>
      </c>
      <c r="D64" s="28"/>
      <c r="F64" s="65">
        <v>231008</v>
      </c>
      <c r="G64" s="65"/>
      <c r="H64" s="65">
        <f t="shared" si="33"/>
        <v>231008</v>
      </c>
      <c r="I64" s="66"/>
      <c r="J64" s="66"/>
      <c r="K64" s="66"/>
      <c r="L64" s="65"/>
      <c r="M64" s="65"/>
      <c r="N64" s="65"/>
      <c r="O64" s="66"/>
      <c r="P64" s="66"/>
      <c r="Q64" s="66"/>
      <c r="R64" s="65"/>
      <c r="S64" s="65"/>
      <c r="T64" s="65"/>
      <c r="U64" s="66"/>
      <c r="V64" s="66"/>
      <c r="W64" s="66"/>
      <c r="X64" s="65"/>
      <c r="Y64" s="65"/>
      <c r="Z64" s="65"/>
      <c r="AA64" s="66"/>
      <c r="AB64" s="66"/>
      <c r="AC64" s="66"/>
      <c r="AD64" s="65"/>
      <c r="AE64" s="65"/>
      <c r="AF64" s="65"/>
      <c r="AG64" s="66"/>
      <c r="AH64" s="66"/>
      <c r="AI64" s="66"/>
      <c r="AJ64" s="65"/>
      <c r="AK64" s="65"/>
      <c r="AL64" s="65"/>
      <c r="AM64" s="66"/>
      <c r="AN64" s="66"/>
      <c r="AO64" s="66"/>
    </row>
    <row r="65" spans="1:41" ht="17.25" x14ac:dyDescent="0.3">
      <c r="A65" s="71" t="s">
        <v>73</v>
      </c>
      <c r="B65" s="16"/>
      <c r="C65" s="17">
        <f>SUM(C63:C64)</f>
        <v>231008</v>
      </c>
      <c r="D65" s="28"/>
      <c r="F65" s="17">
        <f>SUM(F63:F64)</f>
        <v>231008</v>
      </c>
      <c r="G65" s="17">
        <f t="shared" ref="G65:AL65" si="47">SUM(G63:G64)</f>
        <v>0</v>
      </c>
      <c r="H65" s="17">
        <f t="shared" si="47"/>
        <v>231008</v>
      </c>
      <c r="I65" s="17">
        <f t="shared" si="47"/>
        <v>0</v>
      </c>
      <c r="J65" s="17">
        <f t="shared" si="47"/>
        <v>0</v>
      </c>
      <c r="K65" s="17">
        <f t="shared" si="47"/>
        <v>0</v>
      </c>
      <c r="L65" s="17">
        <f t="shared" si="47"/>
        <v>0</v>
      </c>
      <c r="M65" s="17">
        <f t="shared" si="47"/>
        <v>0</v>
      </c>
      <c r="N65" s="17">
        <f t="shared" si="47"/>
        <v>0</v>
      </c>
      <c r="O65" s="17">
        <f t="shared" si="47"/>
        <v>0</v>
      </c>
      <c r="P65" s="17">
        <f t="shared" si="47"/>
        <v>0</v>
      </c>
      <c r="Q65" s="17">
        <f t="shared" si="47"/>
        <v>0</v>
      </c>
      <c r="R65" s="17">
        <f t="shared" si="47"/>
        <v>0</v>
      </c>
      <c r="S65" s="17">
        <f t="shared" si="47"/>
        <v>0</v>
      </c>
      <c r="T65" s="17">
        <f t="shared" si="47"/>
        <v>0</v>
      </c>
      <c r="U65" s="17">
        <f t="shared" si="47"/>
        <v>0</v>
      </c>
      <c r="V65" s="17">
        <f t="shared" si="47"/>
        <v>0</v>
      </c>
      <c r="W65" s="17">
        <f t="shared" si="47"/>
        <v>0</v>
      </c>
      <c r="X65" s="17">
        <f t="shared" si="47"/>
        <v>0</v>
      </c>
      <c r="Y65" s="17">
        <f t="shared" si="47"/>
        <v>0</v>
      </c>
      <c r="Z65" s="17">
        <f t="shared" si="47"/>
        <v>0</v>
      </c>
      <c r="AA65" s="17">
        <f t="shared" si="47"/>
        <v>0</v>
      </c>
      <c r="AB65" s="17">
        <f t="shared" si="47"/>
        <v>0</v>
      </c>
      <c r="AC65" s="17">
        <f t="shared" si="47"/>
        <v>0</v>
      </c>
      <c r="AD65" s="17">
        <f t="shared" si="47"/>
        <v>0</v>
      </c>
      <c r="AE65" s="17">
        <f t="shared" si="47"/>
        <v>0</v>
      </c>
      <c r="AF65" s="17">
        <f t="shared" si="47"/>
        <v>0</v>
      </c>
      <c r="AG65" s="17">
        <f t="shared" si="47"/>
        <v>0</v>
      </c>
      <c r="AH65" s="17">
        <f t="shared" si="47"/>
        <v>0</v>
      </c>
      <c r="AI65" s="17">
        <f t="shared" si="47"/>
        <v>0</v>
      </c>
      <c r="AJ65" s="17">
        <f t="shared" si="47"/>
        <v>0</v>
      </c>
      <c r="AK65" s="17">
        <f t="shared" si="47"/>
        <v>0</v>
      </c>
      <c r="AL65" s="17">
        <f t="shared" si="47"/>
        <v>0</v>
      </c>
      <c r="AM65" s="17">
        <f t="shared" ref="AM65:AO65" si="48">SUM(AM63:AM64)</f>
        <v>0</v>
      </c>
      <c r="AN65" s="17">
        <f t="shared" si="48"/>
        <v>0</v>
      </c>
      <c r="AO65" s="17">
        <f t="shared" si="48"/>
        <v>0</v>
      </c>
    </row>
    <row r="66" spans="1:41" ht="18.95" customHeight="1" x14ac:dyDescent="0.3">
      <c r="A66" s="70" t="s">
        <v>68</v>
      </c>
      <c r="B66" s="16"/>
      <c r="C66" s="17">
        <f>C61+C65</f>
        <v>2266208</v>
      </c>
      <c r="D66" s="28"/>
      <c r="F66" s="17">
        <f>F61+F65</f>
        <v>2242008</v>
      </c>
      <c r="G66" s="17">
        <f t="shared" ref="G66:AL66" si="49">G61+G65</f>
        <v>0</v>
      </c>
      <c r="H66" s="17">
        <f t="shared" si="49"/>
        <v>2242008</v>
      </c>
      <c r="I66" s="17">
        <f t="shared" si="49"/>
        <v>24200</v>
      </c>
      <c r="J66" s="17">
        <f t="shared" si="49"/>
        <v>0</v>
      </c>
      <c r="K66" s="17">
        <f t="shared" si="49"/>
        <v>24200</v>
      </c>
      <c r="L66" s="17">
        <f t="shared" si="49"/>
        <v>0</v>
      </c>
      <c r="M66" s="17">
        <f t="shared" si="49"/>
        <v>0</v>
      </c>
      <c r="N66" s="17">
        <f t="shared" si="49"/>
        <v>0</v>
      </c>
      <c r="O66" s="17">
        <f t="shared" si="49"/>
        <v>0</v>
      </c>
      <c r="P66" s="17">
        <f t="shared" si="49"/>
        <v>0</v>
      </c>
      <c r="Q66" s="17">
        <f t="shared" si="49"/>
        <v>0</v>
      </c>
      <c r="R66" s="17">
        <f t="shared" si="49"/>
        <v>0</v>
      </c>
      <c r="S66" s="17">
        <f t="shared" si="49"/>
        <v>0</v>
      </c>
      <c r="T66" s="17">
        <f t="shared" si="49"/>
        <v>0</v>
      </c>
      <c r="U66" s="17">
        <f t="shared" si="49"/>
        <v>0</v>
      </c>
      <c r="V66" s="17">
        <f t="shared" si="49"/>
        <v>0</v>
      </c>
      <c r="W66" s="17">
        <f t="shared" si="49"/>
        <v>0</v>
      </c>
      <c r="X66" s="17">
        <f t="shared" si="49"/>
        <v>0</v>
      </c>
      <c r="Y66" s="17">
        <f t="shared" si="49"/>
        <v>0</v>
      </c>
      <c r="Z66" s="17">
        <f t="shared" si="49"/>
        <v>0</v>
      </c>
      <c r="AA66" s="17">
        <f t="shared" si="49"/>
        <v>0</v>
      </c>
      <c r="AB66" s="17">
        <f t="shared" si="49"/>
        <v>0</v>
      </c>
      <c r="AC66" s="17">
        <f t="shared" si="49"/>
        <v>0</v>
      </c>
      <c r="AD66" s="17">
        <f t="shared" si="49"/>
        <v>0</v>
      </c>
      <c r="AE66" s="17">
        <f t="shared" si="49"/>
        <v>0</v>
      </c>
      <c r="AF66" s="17">
        <f t="shared" si="49"/>
        <v>0</v>
      </c>
      <c r="AG66" s="17">
        <f t="shared" si="49"/>
        <v>0</v>
      </c>
      <c r="AH66" s="17">
        <f t="shared" si="49"/>
        <v>0</v>
      </c>
      <c r="AI66" s="17">
        <f t="shared" si="49"/>
        <v>0</v>
      </c>
      <c r="AJ66" s="17">
        <f t="shared" si="49"/>
        <v>0</v>
      </c>
      <c r="AK66" s="17">
        <f t="shared" si="49"/>
        <v>0</v>
      </c>
      <c r="AL66" s="17">
        <f t="shared" si="49"/>
        <v>0</v>
      </c>
      <c r="AM66" s="17">
        <f t="shared" ref="AM66:AO66" si="50">AM61+AM65</f>
        <v>0</v>
      </c>
      <c r="AN66" s="17">
        <f t="shared" si="50"/>
        <v>0</v>
      </c>
      <c r="AO66" s="17">
        <f t="shared" si="50"/>
        <v>0</v>
      </c>
    </row>
    <row r="67" spans="1:41" ht="18.95" customHeight="1" x14ac:dyDescent="0.3">
      <c r="A67" s="15"/>
      <c r="B67" s="16"/>
      <c r="C67" s="28"/>
      <c r="D67" s="28"/>
      <c r="F67" s="65"/>
      <c r="G67" s="65"/>
      <c r="H67" s="65"/>
      <c r="I67" s="66"/>
      <c r="J67" s="66"/>
      <c r="K67" s="66"/>
      <c r="L67" s="65"/>
      <c r="M67" s="65"/>
      <c r="N67" s="65"/>
      <c r="O67" s="66"/>
      <c r="P67" s="66"/>
      <c r="Q67" s="66"/>
      <c r="R67" s="65"/>
      <c r="S67" s="65"/>
      <c r="T67" s="65"/>
      <c r="U67" s="66"/>
      <c r="V67" s="66"/>
      <c r="W67" s="66"/>
      <c r="X67" s="65"/>
      <c r="Y67" s="65"/>
      <c r="Z67" s="65"/>
      <c r="AA67" s="66"/>
      <c r="AB67" s="66"/>
      <c r="AC67" s="66"/>
      <c r="AD67" s="65"/>
      <c r="AE67" s="65"/>
      <c r="AF67" s="65"/>
      <c r="AG67" s="66"/>
      <c r="AH67" s="66"/>
      <c r="AI67" s="66"/>
      <c r="AJ67" s="65"/>
      <c r="AK67" s="65"/>
      <c r="AL67" s="65"/>
      <c r="AM67" s="66"/>
      <c r="AN67" s="66"/>
      <c r="AO67" s="66"/>
    </row>
    <row r="68" spans="1:41" ht="18.95" customHeight="1" x14ac:dyDescent="0.3">
      <c r="A68" s="15"/>
      <c r="B68" s="16"/>
      <c r="C68" s="28"/>
      <c r="D68" s="28"/>
      <c r="F68" s="65"/>
      <c r="G68" s="65"/>
      <c r="H68" s="65"/>
      <c r="I68" s="66"/>
      <c r="J68" s="66"/>
      <c r="K68" s="66"/>
      <c r="L68" s="65"/>
      <c r="M68" s="65"/>
      <c r="N68" s="65"/>
      <c r="O68" s="66"/>
      <c r="P68" s="66"/>
      <c r="Q68" s="66"/>
      <c r="R68" s="65"/>
      <c r="S68" s="65"/>
      <c r="T68" s="65"/>
      <c r="U68" s="66"/>
      <c r="V68" s="66"/>
      <c r="W68" s="66"/>
      <c r="X68" s="65"/>
      <c r="Y68" s="65"/>
      <c r="Z68" s="65"/>
      <c r="AA68" s="66"/>
      <c r="AB68" s="66"/>
      <c r="AC68" s="66"/>
      <c r="AD68" s="65"/>
      <c r="AE68" s="65"/>
      <c r="AF68" s="65"/>
      <c r="AG68" s="66"/>
      <c r="AH68" s="66"/>
      <c r="AI68" s="66"/>
      <c r="AJ68" s="65"/>
      <c r="AK68" s="65"/>
      <c r="AL68" s="65"/>
      <c r="AM68" s="66"/>
      <c r="AN68" s="66"/>
      <c r="AO68" s="66"/>
    </row>
    <row r="69" spans="1:41" ht="17.25" x14ac:dyDescent="0.3">
      <c r="A69" s="70" t="s">
        <v>74</v>
      </c>
      <c r="B69" s="16"/>
      <c r="C69" s="43"/>
      <c r="D69" s="44"/>
      <c r="F69" s="65"/>
      <c r="G69" s="65"/>
      <c r="H69" s="65"/>
      <c r="I69" s="66"/>
      <c r="J69" s="66"/>
      <c r="K69" s="66"/>
      <c r="L69" s="65"/>
      <c r="M69" s="65"/>
      <c r="N69" s="65"/>
      <c r="O69" s="66"/>
      <c r="P69" s="66"/>
      <c r="Q69" s="66"/>
      <c r="R69" s="65"/>
      <c r="S69" s="65"/>
      <c r="T69" s="65"/>
      <c r="U69" s="66"/>
      <c r="V69" s="66"/>
      <c r="W69" s="66"/>
      <c r="X69" s="65"/>
      <c r="Y69" s="65"/>
      <c r="Z69" s="65"/>
      <c r="AA69" s="66"/>
      <c r="AB69" s="66"/>
      <c r="AC69" s="66"/>
      <c r="AD69" s="65"/>
      <c r="AE69" s="65"/>
      <c r="AF69" s="65"/>
      <c r="AG69" s="66"/>
      <c r="AH69" s="66"/>
      <c r="AI69" s="66"/>
      <c r="AJ69" s="65"/>
      <c r="AK69" s="65"/>
      <c r="AL69" s="65"/>
      <c r="AM69" s="66"/>
      <c r="AN69" s="66"/>
      <c r="AO69" s="66"/>
    </row>
    <row r="70" spans="1:41" ht="17.25" x14ac:dyDescent="0.3">
      <c r="A70" s="15" t="s">
        <v>21</v>
      </c>
      <c r="B70" s="16"/>
      <c r="C70" s="14">
        <f>H70+K70+N70+Q70+T70+W70+Z70+AC70+AF70+AI70+AL70+AO70</f>
        <v>0</v>
      </c>
      <c r="D70" s="45"/>
      <c r="F70" s="65">
        <v>0</v>
      </c>
      <c r="G70" s="65"/>
      <c r="H70" s="65">
        <f t="shared" si="33"/>
        <v>0</v>
      </c>
      <c r="I70" s="66"/>
      <c r="J70" s="66"/>
      <c r="K70" s="66">
        <f t="shared" si="34"/>
        <v>0</v>
      </c>
      <c r="L70" s="65"/>
      <c r="M70" s="65"/>
      <c r="N70" s="65">
        <f t="shared" si="35"/>
        <v>0</v>
      </c>
      <c r="O70" s="66">
        <v>0</v>
      </c>
      <c r="P70" s="66"/>
      <c r="Q70" s="66">
        <f t="shared" si="36"/>
        <v>0</v>
      </c>
      <c r="R70" s="65"/>
      <c r="S70" s="65"/>
      <c r="T70" s="65">
        <f t="shared" si="37"/>
        <v>0</v>
      </c>
      <c r="U70" s="66"/>
      <c r="V70" s="66"/>
      <c r="W70" s="66">
        <f t="shared" si="38"/>
        <v>0</v>
      </c>
      <c r="X70" s="65"/>
      <c r="Y70" s="65"/>
      <c r="Z70" s="65">
        <f t="shared" si="39"/>
        <v>0</v>
      </c>
      <c r="AA70" s="66"/>
      <c r="AB70" s="66"/>
      <c r="AC70" s="66">
        <f t="shared" si="40"/>
        <v>0</v>
      </c>
      <c r="AD70" s="65"/>
      <c r="AE70" s="65"/>
      <c r="AF70" s="65">
        <f t="shared" si="41"/>
        <v>0</v>
      </c>
      <c r="AG70" s="66"/>
      <c r="AH70" s="66"/>
      <c r="AI70" s="66">
        <f t="shared" si="42"/>
        <v>0</v>
      </c>
      <c r="AJ70" s="65"/>
      <c r="AK70" s="65"/>
      <c r="AL70" s="65">
        <f t="shared" si="43"/>
        <v>0</v>
      </c>
      <c r="AM70" s="66"/>
      <c r="AN70" s="66"/>
      <c r="AO70" s="66">
        <f t="shared" ref="AO70:AO73" si="51">AM70+AN70</f>
        <v>0</v>
      </c>
    </row>
    <row r="71" spans="1:41" ht="17.25" x14ac:dyDescent="0.3">
      <c r="A71" s="15" t="s">
        <v>22</v>
      </c>
      <c r="B71" s="16"/>
      <c r="C71" s="14">
        <f>H71+K71+N71+Q71+T71+W71+Z71+AC71+AF71+AI71+AL71+AO71</f>
        <v>329314.90000000002</v>
      </c>
      <c r="D71" s="24"/>
      <c r="F71" s="65">
        <v>7864</v>
      </c>
      <c r="G71" s="78">
        <v>-7864</v>
      </c>
      <c r="H71" s="65">
        <f t="shared" si="33"/>
        <v>0</v>
      </c>
      <c r="I71" s="66">
        <v>222143.9</v>
      </c>
      <c r="J71" s="66"/>
      <c r="K71" s="66">
        <f t="shared" si="34"/>
        <v>222143.9</v>
      </c>
      <c r="L71" s="65">
        <v>46750</v>
      </c>
      <c r="M71" s="65"/>
      <c r="N71" s="65">
        <f t="shared" si="35"/>
        <v>46750</v>
      </c>
      <c r="O71" s="66">
        <v>59221</v>
      </c>
      <c r="P71" s="66"/>
      <c r="Q71" s="66">
        <f t="shared" si="36"/>
        <v>59221</v>
      </c>
      <c r="R71" s="65">
        <v>1200</v>
      </c>
      <c r="S71" s="65"/>
      <c r="T71" s="65">
        <f t="shared" si="37"/>
        <v>1200</v>
      </c>
      <c r="U71" s="66"/>
      <c r="V71" s="66"/>
      <c r="W71" s="66">
        <f t="shared" si="38"/>
        <v>0</v>
      </c>
      <c r="X71" s="65"/>
      <c r="Y71" s="65"/>
      <c r="Z71" s="65">
        <f t="shared" si="39"/>
        <v>0</v>
      </c>
      <c r="AA71" s="66"/>
      <c r="AB71" s="66"/>
      <c r="AC71" s="66">
        <f t="shared" si="40"/>
        <v>0</v>
      </c>
      <c r="AD71" s="65"/>
      <c r="AE71" s="65"/>
      <c r="AF71" s="65">
        <f t="shared" si="41"/>
        <v>0</v>
      </c>
      <c r="AG71" s="66"/>
      <c r="AH71" s="66"/>
      <c r="AI71" s="66">
        <f t="shared" si="42"/>
        <v>0</v>
      </c>
      <c r="AJ71" s="65"/>
      <c r="AK71" s="65"/>
      <c r="AL71" s="65">
        <f t="shared" si="43"/>
        <v>0</v>
      </c>
      <c r="AM71" s="66"/>
      <c r="AN71" s="66"/>
      <c r="AO71" s="66">
        <f t="shared" si="51"/>
        <v>0</v>
      </c>
    </row>
    <row r="72" spans="1:41" ht="17.25" x14ac:dyDescent="0.3">
      <c r="A72" s="15" t="s">
        <v>23</v>
      </c>
      <c r="B72" s="16"/>
      <c r="C72" s="14">
        <f>H72+K72+N72+Q72+T72+W72+Z72+AC72+AF72+AI72+AL72+AO72</f>
        <v>56352</v>
      </c>
      <c r="D72" s="24"/>
      <c r="F72" s="65">
        <v>53984</v>
      </c>
      <c r="G72" s="77">
        <v>-42632</v>
      </c>
      <c r="H72" s="65">
        <f t="shared" si="33"/>
        <v>11352</v>
      </c>
      <c r="I72" s="66">
        <v>29167</v>
      </c>
      <c r="J72" s="76">
        <v>-29167</v>
      </c>
      <c r="K72" s="66">
        <f t="shared" si="34"/>
        <v>0</v>
      </c>
      <c r="L72" s="65">
        <v>45000</v>
      </c>
      <c r="M72" s="65"/>
      <c r="N72" s="65">
        <f t="shared" si="35"/>
        <v>45000</v>
      </c>
      <c r="O72" s="66">
        <v>45000</v>
      </c>
      <c r="P72" s="76">
        <v>-45000</v>
      </c>
      <c r="Q72" s="66">
        <f t="shared" si="36"/>
        <v>0</v>
      </c>
      <c r="R72" s="65"/>
      <c r="S72" s="65"/>
      <c r="T72" s="65">
        <f t="shared" si="37"/>
        <v>0</v>
      </c>
      <c r="U72" s="66"/>
      <c r="V72" s="66"/>
      <c r="W72" s="66">
        <f t="shared" si="38"/>
        <v>0</v>
      </c>
      <c r="X72" s="65"/>
      <c r="Y72" s="65"/>
      <c r="Z72" s="65">
        <f t="shared" si="39"/>
        <v>0</v>
      </c>
      <c r="AA72" s="66"/>
      <c r="AB72" s="66"/>
      <c r="AC72" s="66">
        <f t="shared" si="40"/>
        <v>0</v>
      </c>
      <c r="AD72" s="65"/>
      <c r="AE72" s="65"/>
      <c r="AF72" s="65">
        <f t="shared" si="41"/>
        <v>0</v>
      </c>
      <c r="AG72" s="66"/>
      <c r="AH72" s="66"/>
      <c r="AI72" s="66">
        <f t="shared" si="42"/>
        <v>0</v>
      </c>
      <c r="AJ72" s="65"/>
      <c r="AK72" s="65"/>
      <c r="AL72" s="65">
        <f t="shared" si="43"/>
        <v>0</v>
      </c>
      <c r="AM72" s="66"/>
      <c r="AN72" s="66"/>
      <c r="AO72" s="66">
        <f t="shared" si="51"/>
        <v>0</v>
      </c>
    </row>
    <row r="73" spans="1:41" ht="17.25" x14ac:dyDescent="0.3">
      <c r="A73" s="15" t="s">
        <v>24</v>
      </c>
      <c r="B73" s="16"/>
      <c r="C73" s="14">
        <f>H73+K73+N73+Q73+T73+W73+Z73+AC73+AF73+AI73+AL73+AO73</f>
        <v>1133141.2</v>
      </c>
      <c r="D73" s="24"/>
      <c r="F73" s="65">
        <v>97.52</v>
      </c>
      <c r="G73" s="65"/>
      <c r="H73" s="65">
        <f t="shared" si="33"/>
        <v>97.52</v>
      </c>
      <c r="I73" s="66">
        <v>21059.37</v>
      </c>
      <c r="J73" s="66"/>
      <c r="K73" s="66">
        <f t="shared" si="34"/>
        <v>21059.37</v>
      </c>
      <c r="L73" s="65">
        <v>720005.24</v>
      </c>
      <c r="M73" s="65"/>
      <c r="N73" s="65">
        <f t="shared" si="35"/>
        <v>720005.24</v>
      </c>
      <c r="O73" s="66">
        <v>197895</v>
      </c>
      <c r="P73" s="66"/>
      <c r="Q73" s="66">
        <f t="shared" si="36"/>
        <v>197895</v>
      </c>
      <c r="R73" s="65">
        <v>27869</v>
      </c>
      <c r="S73" s="65"/>
      <c r="T73" s="65">
        <f t="shared" si="37"/>
        <v>27869</v>
      </c>
      <c r="U73" s="66">
        <v>38865.78</v>
      </c>
      <c r="V73" s="66"/>
      <c r="W73" s="66">
        <f t="shared" si="38"/>
        <v>38865.78</v>
      </c>
      <c r="X73" s="65">
        <v>32588</v>
      </c>
      <c r="Y73" s="65"/>
      <c r="Z73" s="65">
        <f t="shared" si="39"/>
        <v>32588</v>
      </c>
      <c r="AA73" s="66">
        <v>1772.21</v>
      </c>
      <c r="AB73" s="66"/>
      <c r="AC73" s="66">
        <f t="shared" si="40"/>
        <v>1772.21</v>
      </c>
      <c r="AD73" s="65">
        <v>3707.08</v>
      </c>
      <c r="AE73" s="65"/>
      <c r="AF73" s="65">
        <f t="shared" si="41"/>
        <v>3707.08</v>
      </c>
      <c r="AG73" s="66">
        <v>30018</v>
      </c>
      <c r="AH73" s="66"/>
      <c r="AI73" s="66">
        <f t="shared" si="42"/>
        <v>30018</v>
      </c>
      <c r="AJ73" s="65">
        <v>34551</v>
      </c>
      <c r="AK73" s="65"/>
      <c r="AL73" s="65">
        <f t="shared" si="43"/>
        <v>34551</v>
      </c>
      <c r="AM73" s="66">
        <v>24713</v>
      </c>
      <c r="AN73" s="66"/>
      <c r="AO73" s="66">
        <f t="shared" si="51"/>
        <v>24713</v>
      </c>
    </row>
    <row r="74" spans="1:41" ht="18.95" customHeight="1" x14ac:dyDescent="0.3">
      <c r="A74" s="4" t="s">
        <v>25</v>
      </c>
      <c r="B74" s="16"/>
      <c r="C74" s="17">
        <f>SUM(C70:C73)</f>
        <v>1518808.1</v>
      </c>
      <c r="D74" s="28"/>
      <c r="F74" s="17">
        <f>SUM(F70:F73)</f>
        <v>61945.52</v>
      </c>
      <c r="G74" s="17">
        <f t="shared" ref="G74:AL74" si="52">SUM(G70:G73)</f>
        <v>-50496</v>
      </c>
      <c r="H74" s="17">
        <f t="shared" si="52"/>
        <v>11449.52</v>
      </c>
      <c r="I74" s="17">
        <f t="shared" si="52"/>
        <v>272370.27</v>
      </c>
      <c r="J74" s="17">
        <f t="shared" si="52"/>
        <v>-29167</v>
      </c>
      <c r="K74" s="17">
        <f t="shared" si="52"/>
        <v>243203.27</v>
      </c>
      <c r="L74" s="17">
        <f t="shared" si="52"/>
        <v>811755.24</v>
      </c>
      <c r="M74" s="17">
        <f t="shared" si="52"/>
        <v>0</v>
      </c>
      <c r="N74" s="17">
        <f t="shared" si="52"/>
        <v>811755.24</v>
      </c>
      <c r="O74" s="17">
        <f t="shared" si="52"/>
        <v>302116</v>
      </c>
      <c r="P74" s="17">
        <f t="shared" si="52"/>
        <v>-45000</v>
      </c>
      <c r="Q74" s="17">
        <f t="shared" si="52"/>
        <v>257116</v>
      </c>
      <c r="R74" s="17">
        <f t="shared" si="52"/>
        <v>29069</v>
      </c>
      <c r="S74" s="17">
        <f t="shared" si="52"/>
        <v>0</v>
      </c>
      <c r="T74" s="17">
        <f t="shared" si="52"/>
        <v>29069</v>
      </c>
      <c r="U74" s="17">
        <f t="shared" si="52"/>
        <v>38865.78</v>
      </c>
      <c r="V74" s="17">
        <f t="shared" si="52"/>
        <v>0</v>
      </c>
      <c r="W74" s="17">
        <f t="shared" si="52"/>
        <v>38865.78</v>
      </c>
      <c r="X74" s="17">
        <f t="shared" si="52"/>
        <v>32588</v>
      </c>
      <c r="Y74" s="17">
        <f t="shared" si="52"/>
        <v>0</v>
      </c>
      <c r="Z74" s="17">
        <f t="shared" si="52"/>
        <v>32588</v>
      </c>
      <c r="AA74" s="17">
        <f t="shared" si="52"/>
        <v>1772.21</v>
      </c>
      <c r="AB74" s="17">
        <f t="shared" si="52"/>
        <v>0</v>
      </c>
      <c r="AC74" s="17">
        <f t="shared" si="52"/>
        <v>1772.21</v>
      </c>
      <c r="AD74" s="17">
        <f t="shared" si="52"/>
        <v>3707.08</v>
      </c>
      <c r="AE74" s="17">
        <f t="shared" si="52"/>
        <v>0</v>
      </c>
      <c r="AF74" s="17">
        <f t="shared" si="52"/>
        <v>3707.08</v>
      </c>
      <c r="AG74" s="17">
        <f t="shared" si="52"/>
        <v>30018</v>
      </c>
      <c r="AH74" s="17">
        <f t="shared" si="52"/>
        <v>0</v>
      </c>
      <c r="AI74" s="17">
        <f t="shared" si="52"/>
        <v>30018</v>
      </c>
      <c r="AJ74" s="17">
        <f t="shared" si="52"/>
        <v>34551</v>
      </c>
      <c r="AK74" s="17">
        <f t="shared" si="52"/>
        <v>0</v>
      </c>
      <c r="AL74" s="17">
        <f t="shared" si="52"/>
        <v>34551</v>
      </c>
      <c r="AM74" s="17">
        <f t="shared" ref="AM74:AO74" si="53">SUM(AM70:AM73)</f>
        <v>24713</v>
      </c>
      <c r="AN74" s="17">
        <f t="shared" si="53"/>
        <v>0</v>
      </c>
      <c r="AO74" s="17">
        <f t="shared" si="53"/>
        <v>24713</v>
      </c>
    </row>
    <row r="75" spans="1:41" ht="18.95" customHeight="1" thickBot="1" x14ac:dyDescent="0.35">
      <c r="A75" s="70" t="s">
        <v>69</v>
      </c>
      <c r="B75" s="16"/>
      <c r="C75" s="17">
        <f>C66+C74</f>
        <v>3785016.1</v>
      </c>
      <c r="D75" s="28"/>
      <c r="F75" s="17">
        <f>F66+F74</f>
        <v>2303953.52</v>
      </c>
      <c r="G75" s="17">
        <f t="shared" ref="G75:AL75" si="54">G66+G74</f>
        <v>-50496</v>
      </c>
      <c r="H75" s="17">
        <f t="shared" si="54"/>
        <v>2253457.52</v>
      </c>
      <c r="I75" s="17">
        <f t="shared" si="54"/>
        <v>296570.27</v>
      </c>
      <c r="J75" s="17">
        <f t="shared" si="54"/>
        <v>-29167</v>
      </c>
      <c r="K75" s="17">
        <f t="shared" si="54"/>
        <v>267403.27</v>
      </c>
      <c r="L75" s="17">
        <f t="shared" si="54"/>
        <v>811755.24</v>
      </c>
      <c r="M75" s="17">
        <f t="shared" si="54"/>
        <v>0</v>
      </c>
      <c r="N75" s="17">
        <f t="shared" si="54"/>
        <v>811755.24</v>
      </c>
      <c r="O75" s="17">
        <f t="shared" si="54"/>
        <v>302116</v>
      </c>
      <c r="P75" s="17">
        <f t="shared" si="54"/>
        <v>-45000</v>
      </c>
      <c r="Q75" s="17">
        <f t="shared" si="54"/>
        <v>257116</v>
      </c>
      <c r="R75" s="17">
        <f t="shared" si="54"/>
        <v>29069</v>
      </c>
      <c r="S75" s="17">
        <f t="shared" si="54"/>
        <v>0</v>
      </c>
      <c r="T75" s="17">
        <f t="shared" si="54"/>
        <v>29069</v>
      </c>
      <c r="U75" s="17">
        <f t="shared" si="54"/>
        <v>38865.78</v>
      </c>
      <c r="V75" s="17">
        <f t="shared" si="54"/>
        <v>0</v>
      </c>
      <c r="W75" s="17">
        <f t="shared" si="54"/>
        <v>38865.78</v>
      </c>
      <c r="X75" s="17">
        <f t="shared" si="54"/>
        <v>32588</v>
      </c>
      <c r="Y75" s="17">
        <f t="shared" si="54"/>
        <v>0</v>
      </c>
      <c r="Z75" s="17">
        <f t="shared" si="54"/>
        <v>32588</v>
      </c>
      <c r="AA75" s="17">
        <f t="shared" si="54"/>
        <v>1772.21</v>
      </c>
      <c r="AB75" s="17">
        <f t="shared" si="54"/>
        <v>0</v>
      </c>
      <c r="AC75" s="17">
        <f t="shared" si="54"/>
        <v>1772.21</v>
      </c>
      <c r="AD75" s="17">
        <f t="shared" si="54"/>
        <v>3707.08</v>
      </c>
      <c r="AE75" s="17">
        <f t="shared" si="54"/>
        <v>0</v>
      </c>
      <c r="AF75" s="17">
        <f t="shared" si="54"/>
        <v>3707.08</v>
      </c>
      <c r="AG75" s="17">
        <f t="shared" si="54"/>
        <v>30018</v>
      </c>
      <c r="AH75" s="17">
        <f t="shared" si="54"/>
        <v>0</v>
      </c>
      <c r="AI75" s="17">
        <f t="shared" si="54"/>
        <v>30018</v>
      </c>
      <c r="AJ75" s="17">
        <f t="shared" si="54"/>
        <v>34551</v>
      </c>
      <c r="AK75" s="17">
        <f t="shared" si="54"/>
        <v>0</v>
      </c>
      <c r="AL75" s="17">
        <f t="shared" si="54"/>
        <v>34551</v>
      </c>
      <c r="AM75" s="17">
        <f t="shared" ref="AM75:AO75" si="55">AM66+AM74</f>
        <v>24713</v>
      </c>
      <c r="AN75" s="17">
        <f t="shared" si="55"/>
        <v>0</v>
      </c>
      <c r="AO75" s="17">
        <f t="shared" si="55"/>
        <v>24713</v>
      </c>
    </row>
    <row r="76" spans="1:41" ht="18" thickTop="1" x14ac:dyDescent="0.3">
      <c r="A76" s="15" t="s">
        <v>1</v>
      </c>
      <c r="B76" s="16"/>
      <c r="C76" s="46"/>
      <c r="D76" s="24"/>
      <c r="F76" s="65"/>
      <c r="G76" s="65"/>
      <c r="H76" s="65"/>
      <c r="I76" s="66"/>
      <c r="J76" s="66"/>
      <c r="K76" s="66"/>
      <c r="L76" s="65"/>
      <c r="M76" s="65"/>
      <c r="N76" s="65"/>
      <c r="O76" s="66"/>
      <c r="P76" s="66"/>
      <c r="Q76" s="66"/>
      <c r="R76" s="65"/>
      <c r="S76" s="65"/>
      <c r="T76" s="65"/>
      <c r="U76" s="66"/>
      <c r="V76" s="66"/>
      <c r="W76" s="66"/>
      <c r="X76" s="65"/>
      <c r="Y76" s="65"/>
      <c r="Z76" s="65"/>
      <c r="AA76" s="66"/>
      <c r="AB76" s="66"/>
      <c r="AC76" s="66"/>
      <c r="AD76" s="65"/>
      <c r="AE76" s="65"/>
      <c r="AF76" s="65"/>
      <c r="AG76" s="66"/>
      <c r="AH76" s="66"/>
      <c r="AI76" s="66"/>
      <c r="AJ76" s="65"/>
      <c r="AK76" s="65"/>
      <c r="AL76" s="65"/>
      <c r="AM76" s="66"/>
      <c r="AN76" s="66"/>
      <c r="AO76" s="66"/>
    </row>
    <row r="77" spans="1:41" ht="17.25" x14ac:dyDescent="0.3">
      <c r="A77" s="4" t="s">
        <v>26</v>
      </c>
      <c r="B77" s="16"/>
      <c r="C77" s="19"/>
      <c r="D77" s="24"/>
      <c r="F77" s="65"/>
      <c r="G77" s="65"/>
      <c r="H77" s="65"/>
      <c r="I77" s="66"/>
      <c r="J77" s="66"/>
      <c r="K77" s="66"/>
      <c r="L77" s="65"/>
      <c r="M77" s="65"/>
      <c r="N77" s="65"/>
      <c r="O77" s="66"/>
      <c r="P77" s="66"/>
      <c r="Q77" s="66"/>
      <c r="R77" s="65"/>
      <c r="S77" s="65"/>
      <c r="T77" s="65"/>
      <c r="U77" s="66"/>
      <c r="V77" s="66"/>
      <c r="W77" s="66"/>
      <c r="X77" s="65"/>
      <c r="Y77" s="65"/>
      <c r="Z77" s="65"/>
      <c r="AA77" s="66"/>
      <c r="AB77" s="66"/>
      <c r="AC77" s="66"/>
      <c r="AD77" s="65"/>
      <c r="AE77" s="65"/>
      <c r="AF77" s="65"/>
      <c r="AG77" s="66"/>
      <c r="AH77" s="66"/>
      <c r="AI77" s="66"/>
      <c r="AJ77" s="65"/>
      <c r="AK77" s="65"/>
      <c r="AL77" s="65"/>
      <c r="AM77" s="66"/>
      <c r="AN77" s="66"/>
      <c r="AO77" s="66"/>
    </row>
    <row r="78" spans="1:41" ht="6.95" customHeight="1" x14ac:dyDescent="0.3">
      <c r="A78" s="4"/>
      <c r="B78" s="16"/>
      <c r="C78" s="19"/>
      <c r="D78" s="24"/>
      <c r="F78" s="65"/>
      <c r="G78" s="65"/>
      <c r="H78" s="65"/>
      <c r="I78" s="66"/>
      <c r="J78" s="66"/>
      <c r="K78" s="66"/>
      <c r="L78" s="65"/>
      <c r="M78" s="65"/>
      <c r="N78" s="65"/>
      <c r="O78" s="66"/>
      <c r="P78" s="66"/>
      <c r="Q78" s="66"/>
      <c r="R78" s="65"/>
      <c r="S78" s="65"/>
      <c r="T78" s="65"/>
      <c r="U78" s="66"/>
      <c r="V78" s="66"/>
      <c r="W78" s="66"/>
      <c r="X78" s="65"/>
      <c r="Y78" s="65"/>
      <c r="Z78" s="65"/>
      <c r="AA78" s="66"/>
      <c r="AB78" s="66"/>
      <c r="AC78" s="66"/>
      <c r="AD78" s="65"/>
      <c r="AE78" s="65"/>
      <c r="AF78" s="65"/>
      <c r="AG78" s="66"/>
      <c r="AH78" s="66"/>
      <c r="AI78" s="66"/>
      <c r="AJ78" s="65"/>
      <c r="AK78" s="65"/>
      <c r="AL78" s="65"/>
      <c r="AM78" s="66"/>
      <c r="AN78" s="66"/>
      <c r="AO78" s="66"/>
    </row>
    <row r="79" spans="1:41" ht="17.25" x14ac:dyDescent="0.3">
      <c r="A79" s="4" t="s">
        <v>27</v>
      </c>
      <c r="B79" s="25"/>
      <c r="C79" s="47"/>
      <c r="D79" s="48"/>
      <c r="F79" s="65"/>
      <c r="G79" s="65"/>
      <c r="H79" s="65"/>
      <c r="I79" s="66"/>
      <c r="J79" s="66"/>
      <c r="K79" s="66"/>
      <c r="L79" s="65"/>
      <c r="M79" s="65"/>
      <c r="N79" s="65"/>
      <c r="O79" s="66"/>
      <c r="P79" s="66"/>
      <c r="Q79" s="66"/>
      <c r="R79" s="65"/>
      <c r="S79" s="65"/>
      <c r="T79" s="65"/>
      <c r="U79" s="66"/>
      <c r="V79" s="66"/>
      <c r="W79" s="66"/>
      <c r="X79" s="65"/>
      <c r="Y79" s="65"/>
      <c r="Z79" s="65"/>
      <c r="AA79" s="66"/>
      <c r="AB79" s="66"/>
      <c r="AC79" s="66"/>
      <c r="AD79" s="65"/>
      <c r="AE79" s="65"/>
      <c r="AF79" s="65"/>
      <c r="AG79" s="66"/>
      <c r="AH79" s="66"/>
      <c r="AI79" s="66"/>
      <c r="AJ79" s="65"/>
      <c r="AK79" s="65"/>
      <c r="AL79" s="65"/>
      <c r="AM79" s="66"/>
      <c r="AN79" s="66"/>
      <c r="AO79" s="66"/>
    </row>
    <row r="80" spans="1:41" ht="17.25" hidden="1" x14ac:dyDescent="0.3">
      <c r="A80" s="4" t="s">
        <v>28</v>
      </c>
      <c r="B80" s="16"/>
      <c r="C80" s="19"/>
      <c r="D80" s="24"/>
      <c r="F80" s="65"/>
      <c r="G80" s="65"/>
      <c r="H80" s="65"/>
      <c r="I80" s="66"/>
      <c r="J80" s="66"/>
      <c r="K80" s="66"/>
      <c r="L80" s="65"/>
      <c r="M80" s="65"/>
      <c r="N80" s="65"/>
      <c r="O80" s="66"/>
      <c r="P80" s="66"/>
      <c r="Q80" s="66"/>
      <c r="R80" s="65"/>
      <c r="S80" s="65"/>
      <c r="T80" s="65"/>
      <c r="U80" s="66"/>
      <c r="V80" s="66"/>
      <c r="W80" s="66"/>
      <c r="X80" s="65"/>
      <c r="Y80" s="65"/>
      <c r="Z80" s="65"/>
      <c r="AA80" s="66"/>
      <c r="AB80" s="66"/>
      <c r="AC80" s="66"/>
      <c r="AD80" s="65"/>
      <c r="AE80" s="65"/>
      <c r="AF80" s="65"/>
      <c r="AG80" s="66"/>
      <c r="AH80" s="66"/>
      <c r="AI80" s="66"/>
      <c r="AJ80" s="65"/>
      <c r="AK80" s="65"/>
      <c r="AL80" s="65"/>
      <c r="AM80" s="66"/>
      <c r="AN80" s="66"/>
      <c r="AO80" s="66"/>
    </row>
    <row r="81" spans="1:41" ht="17.25" hidden="1" x14ac:dyDescent="0.3">
      <c r="A81" s="15" t="s">
        <v>29</v>
      </c>
      <c r="B81" s="16"/>
      <c r="C81" s="19">
        <v>0</v>
      </c>
      <c r="D81" s="24"/>
      <c r="F81" s="65"/>
      <c r="G81" s="65"/>
      <c r="H81" s="65"/>
      <c r="I81" s="66"/>
      <c r="J81" s="66"/>
      <c r="K81" s="66"/>
      <c r="L81" s="65"/>
      <c r="M81" s="65"/>
      <c r="N81" s="65"/>
      <c r="O81" s="66"/>
      <c r="P81" s="66"/>
      <c r="Q81" s="66"/>
      <c r="R81" s="65"/>
      <c r="S81" s="65"/>
      <c r="T81" s="65"/>
      <c r="U81" s="66"/>
      <c r="V81" s="66"/>
      <c r="W81" s="66"/>
      <c r="X81" s="65"/>
      <c r="Y81" s="65"/>
      <c r="Z81" s="65"/>
      <c r="AA81" s="66"/>
      <c r="AB81" s="66"/>
      <c r="AC81" s="66"/>
      <c r="AD81" s="65"/>
      <c r="AE81" s="65"/>
      <c r="AF81" s="65"/>
      <c r="AG81" s="66"/>
      <c r="AH81" s="66"/>
      <c r="AI81" s="66"/>
      <c r="AJ81" s="65"/>
      <c r="AK81" s="65"/>
      <c r="AL81" s="65"/>
      <c r="AM81" s="66"/>
      <c r="AN81" s="66"/>
      <c r="AO81" s="66"/>
    </row>
    <row r="82" spans="1:41" ht="17.25" hidden="1" x14ac:dyDescent="0.3">
      <c r="A82" s="4" t="s">
        <v>30</v>
      </c>
      <c r="B82" s="16"/>
      <c r="C82" s="18">
        <f>C81</f>
        <v>0</v>
      </c>
      <c r="D82" s="24"/>
      <c r="F82" s="65"/>
      <c r="G82" s="65"/>
      <c r="H82" s="65"/>
      <c r="I82" s="66"/>
      <c r="J82" s="66"/>
      <c r="K82" s="66"/>
      <c r="L82" s="65"/>
      <c r="M82" s="65"/>
      <c r="N82" s="65"/>
      <c r="O82" s="66"/>
      <c r="P82" s="66"/>
      <c r="Q82" s="66"/>
      <c r="R82" s="65"/>
      <c r="S82" s="65"/>
      <c r="T82" s="65"/>
      <c r="U82" s="66"/>
      <c r="V82" s="66"/>
      <c r="W82" s="66"/>
      <c r="X82" s="65"/>
      <c r="Y82" s="65"/>
      <c r="Z82" s="65"/>
      <c r="AA82" s="66"/>
      <c r="AB82" s="66"/>
      <c r="AC82" s="66"/>
      <c r="AD82" s="65"/>
      <c r="AE82" s="65"/>
      <c r="AF82" s="65"/>
      <c r="AG82" s="66"/>
      <c r="AH82" s="66"/>
      <c r="AI82" s="66"/>
      <c r="AJ82" s="65"/>
      <c r="AK82" s="65"/>
      <c r="AL82" s="65"/>
      <c r="AM82" s="66"/>
      <c r="AN82" s="66"/>
      <c r="AO82" s="66"/>
    </row>
    <row r="83" spans="1:41" ht="9.9499999999999993" customHeight="1" x14ac:dyDescent="0.3">
      <c r="A83" s="15"/>
      <c r="B83" s="16"/>
      <c r="C83" s="19"/>
      <c r="D83" s="24"/>
      <c r="F83" s="65"/>
      <c r="G83" s="65"/>
      <c r="H83" s="65"/>
      <c r="I83" s="66"/>
      <c r="J83" s="66"/>
      <c r="K83" s="66"/>
      <c r="L83" s="65"/>
      <c r="M83" s="65"/>
      <c r="N83" s="65"/>
      <c r="O83" s="66"/>
      <c r="P83" s="66"/>
      <c r="Q83" s="66"/>
      <c r="R83" s="65"/>
      <c r="S83" s="65"/>
      <c r="T83" s="65"/>
      <c r="U83" s="66"/>
      <c r="V83" s="66"/>
      <c r="W83" s="66"/>
      <c r="X83" s="65"/>
      <c r="Y83" s="65"/>
      <c r="Z83" s="65"/>
      <c r="AA83" s="66"/>
      <c r="AB83" s="66"/>
      <c r="AC83" s="66"/>
      <c r="AD83" s="65"/>
      <c r="AE83" s="65"/>
      <c r="AF83" s="65"/>
      <c r="AG83" s="66"/>
      <c r="AH83" s="66"/>
      <c r="AI83" s="66"/>
      <c r="AJ83" s="65"/>
      <c r="AK83" s="65"/>
      <c r="AL83" s="65"/>
      <c r="AM83" s="66"/>
      <c r="AN83" s="66"/>
      <c r="AO83" s="66"/>
    </row>
    <row r="84" spans="1:41" ht="17.25" x14ac:dyDescent="0.3">
      <c r="A84" s="15" t="s">
        <v>31</v>
      </c>
      <c r="B84" s="16"/>
      <c r="C84" s="14">
        <f>H84+K84+N84+Q84+T84+W84+Z84+AC84+AF84+AI84+AL84+AO84</f>
        <v>1747105.1</v>
      </c>
      <c r="D84" s="24"/>
      <c r="F84" s="65">
        <v>553188.37</v>
      </c>
      <c r="G84" s="65"/>
      <c r="H84" s="65">
        <f t="shared" si="33"/>
        <v>553188.37</v>
      </c>
      <c r="I84" s="66">
        <v>77781.27</v>
      </c>
      <c r="J84" s="66"/>
      <c r="K84" s="66">
        <f t="shared" si="34"/>
        <v>77781.27</v>
      </c>
      <c r="L84" s="65">
        <v>729697.39</v>
      </c>
      <c r="M84" s="65"/>
      <c r="N84" s="65">
        <f t="shared" si="35"/>
        <v>729697.39</v>
      </c>
      <c r="O84" s="66">
        <v>193154</v>
      </c>
      <c r="P84" s="66"/>
      <c r="Q84" s="66">
        <f t="shared" si="36"/>
        <v>193154</v>
      </c>
      <c r="R84" s="65">
        <v>27069</v>
      </c>
      <c r="S84" s="65"/>
      <c r="T84" s="65">
        <f t="shared" si="37"/>
        <v>27069</v>
      </c>
      <c r="U84" s="66">
        <v>38865.78</v>
      </c>
      <c r="V84" s="66"/>
      <c r="W84" s="66">
        <f t="shared" si="38"/>
        <v>38865.78</v>
      </c>
      <c r="X84" s="65">
        <v>32588</v>
      </c>
      <c r="Y84" s="65"/>
      <c r="Z84" s="65">
        <f t="shared" si="39"/>
        <v>32588</v>
      </c>
      <c r="AA84" s="66">
        <v>1772.21</v>
      </c>
      <c r="AB84" s="66"/>
      <c r="AC84" s="66">
        <f t="shared" si="40"/>
        <v>1772.21</v>
      </c>
      <c r="AD84" s="65">
        <v>3707.08</v>
      </c>
      <c r="AE84" s="65"/>
      <c r="AF84" s="65">
        <f t="shared" si="41"/>
        <v>3707.08</v>
      </c>
      <c r="AG84" s="66">
        <v>30018</v>
      </c>
      <c r="AH84" s="66"/>
      <c r="AI84" s="66">
        <f t="shared" si="42"/>
        <v>30018</v>
      </c>
      <c r="AJ84" s="65">
        <v>34551</v>
      </c>
      <c r="AK84" s="65"/>
      <c r="AL84" s="65">
        <f t="shared" si="43"/>
        <v>34551</v>
      </c>
      <c r="AM84" s="66">
        <v>24713</v>
      </c>
      <c r="AN84" s="66"/>
      <c r="AO84" s="66">
        <f t="shared" ref="AO84" si="56">AM84+AN84</f>
        <v>24713</v>
      </c>
    </row>
    <row r="85" spans="1:41" ht="18.95" customHeight="1" x14ac:dyDescent="0.3">
      <c r="A85" s="4" t="s">
        <v>32</v>
      </c>
      <c r="B85" s="16"/>
      <c r="C85" s="17">
        <f>C84</f>
        <v>1747105.1</v>
      </c>
      <c r="D85" s="28"/>
      <c r="F85" s="17">
        <f>F84</f>
        <v>553188.37</v>
      </c>
      <c r="G85" s="17">
        <f t="shared" ref="G85:AL85" si="57">G84</f>
        <v>0</v>
      </c>
      <c r="H85" s="17">
        <f t="shared" si="57"/>
        <v>553188.37</v>
      </c>
      <c r="I85" s="17">
        <f t="shared" si="57"/>
        <v>77781.27</v>
      </c>
      <c r="J85" s="17">
        <f t="shared" si="57"/>
        <v>0</v>
      </c>
      <c r="K85" s="17">
        <f t="shared" si="57"/>
        <v>77781.27</v>
      </c>
      <c r="L85" s="17">
        <f t="shared" si="57"/>
        <v>729697.39</v>
      </c>
      <c r="M85" s="17">
        <f t="shared" si="57"/>
        <v>0</v>
      </c>
      <c r="N85" s="17">
        <f t="shared" si="57"/>
        <v>729697.39</v>
      </c>
      <c r="O85" s="17">
        <f t="shared" si="57"/>
        <v>193154</v>
      </c>
      <c r="P85" s="17">
        <f t="shared" si="57"/>
        <v>0</v>
      </c>
      <c r="Q85" s="17">
        <f t="shared" si="57"/>
        <v>193154</v>
      </c>
      <c r="R85" s="17">
        <f t="shared" si="57"/>
        <v>27069</v>
      </c>
      <c r="S85" s="17">
        <f t="shared" si="57"/>
        <v>0</v>
      </c>
      <c r="T85" s="17">
        <f t="shared" si="57"/>
        <v>27069</v>
      </c>
      <c r="U85" s="17">
        <f t="shared" si="57"/>
        <v>38865.78</v>
      </c>
      <c r="V85" s="17">
        <f t="shared" si="57"/>
        <v>0</v>
      </c>
      <c r="W85" s="17">
        <f t="shared" si="57"/>
        <v>38865.78</v>
      </c>
      <c r="X85" s="17">
        <f t="shared" si="57"/>
        <v>32588</v>
      </c>
      <c r="Y85" s="17">
        <f t="shared" si="57"/>
        <v>0</v>
      </c>
      <c r="Z85" s="17">
        <f t="shared" si="57"/>
        <v>32588</v>
      </c>
      <c r="AA85" s="17">
        <f t="shared" si="57"/>
        <v>1772.21</v>
      </c>
      <c r="AB85" s="17">
        <f t="shared" si="57"/>
        <v>0</v>
      </c>
      <c r="AC85" s="17">
        <f t="shared" si="57"/>
        <v>1772.21</v>
      </c>
      <c r="AD85" s="17">
        <f t="shared" si="57"/>
        <v>3707.08</v>
      </c>
      <c r="AE85" s="17">
        <f t="shared" si="57"/>
        <v>0</v>
      </c>
      <c r="AF85" s="17">
        <f t="shared" si="57"/>
        <v>3707.08</v>
      </c>
      <c r="AG85" s="17">
        <f t="shared" si="57"/>
        <v>30018</v>
      </c>
      <c r="AH85" s="17">
        <f t="shared" si="57"/>
        <v>0</v>
      </c>
      <c r="AI85" s="17">
        <f t="shared" si="57"/>
        <v>30018</v>
      </c>
      <c r="AJ85" s="17">
        <f t="shared" si="57"/>
        <v>34551</v>
      </c>
      <c r="AK85" s="17">
        <f t="shared" si="57"/>
        <v>0</v>
      </c>
      <c r="AL85" s="17">
        <f t="shared" si="57"/>
        <v>34551</v>
      </c>
      <c r="AM85" s="17">
        <f t="shared" ref="AM85:AO85" si="58">AM84</f>
        <v>24713</v>
      </c>
      <c r="AN85" s="17">
        <f t="shared" si="58"/>
        <v>0</v>
      </c>
      <c r="AO85" s="17">
        <f t="shared" si="58"/>
        <v>24713</v>
      </c>
    </row>
    <row r="86" spans="1:41" ht="9.9499999999999993" customHeight="1" x14ac:dyDescent="0.3">
      <c r="A86" s="4"/>
      <c r="B86" s="16"/>
      <c r="C86" s="17"/>
      <c r="D86" s="28"/>
      <c r="F86" s="65"/>
      <c r="G86" s="65"/>
      <c r="H86" s="65"/>
      <c r="I86" s="66"/>
      <c r="J86" s="66"/>
      <c r="K86" s="66"/>
      <c r="L86" s="65"/>
      <c r="M86" s="65"/>
      <c r="N86" s="65"/>
      <c r="O86" s="66"/>
      <c r="P86" s="66"/>
      <c r="Q86" s="66"/>
      <c r="R86" s="65"/>
      <c r="S86" s="65"/>
      <c r="T86" s="65"/>
      <c r="U86" s="66"/>
      <c r="V86" s="66"/>
      <c r="W86" s="66"/>
      <c r="X86" s="65"/>
      <c r="Y86" s="65"/>
      <c r="Z86" s="65"/>
      <c r="AA86" s="66"/>
      <c r="AB86" s="66"/>
      <c r="AC86" s="66"/>
      <c r="AD86" s="65"/>
      <c r="AE86" s="65"/>
      <c r="AF86" s="65"/>
      <c r="AG86" s="66"/>
      <c r="AH86" s="66"/>
      <c r="AI86" s="66"/>
      <c r="AJ86" s="65"/>
      <c r="AK86" s="65"/>
      <c r="AL86" s="65"/>
      <c r="AM86" s="66"/>
      <c r="AN86" s="66"/>
      <c r="AO86" s="66"/>
    </row>
    <row r="87" spans="1:41" ht="17.25" x14ac:dyDescent="0.3">
      <c r="A87" s="4" t="s">
        <v>33</v>
      </c>
      <c r="B87" s="16"/>
      <c r="C87" s="28"/>
      <c r="D87" s="28"/>
      <c r="F87" s="65"/>
      <c r="G87" s="65"/>
      <c r="H87" s="65">
        <f t="shared" si="33"/>
        <v>0</v>
      </c>
      <c r="I87" s="66"/>
      <c r="J87" s="66"/>
      <c r="K87" s="66">
        <f t="shared" si="34"/>
        <v>0</v>
      </c>
      <c r="L87" s="65"/>
      <c r="M87" s="65"/>
      <c r="N87" s="65">
        <f t="shared" si="35"/>
        <v>0</v>
      </c>
      <c r="O87" s="66"/>
      <c r="P87" s="66"/>
      <c r="Q87" s="66">
        <f t="shared" si="36"/>
        <v>0</v>
      </c>
      <c r="R87" s="65"/>
      <c r="S87" s="65"/>
      <c r="T87" s="65">
        <f t="shared" si="37"/>
        <v>0</v>
      </c>
      <c r="U87" s="66"/>
      <c r="V87" s="66"/>
      <c r="W87" s="66">
        <f t="shared" si="38"/>
        <v>0</v>
      </c>
      <c r="X87" s="65"/>
      <c r="Y87" s="65"/>
      <c r="Z87" s="65">
        <f t="shared" si="39"/>
        <v>0</v>
      </c>
      <c r="AA87" s="66"/>
      <c r="AB87" s="66"/>
      <c r="AC87" s="66">
        <f t="shared" si="40"/>
        <v>0</v>
      </c>
      <c r="AD87" s="65"/>
      <c r="AE87" s="65"/>
      <c r="AF87" s="65">
        <f t="shared" si="41"/>
        <v>0</v>
      </c>
      <c r="AG87" s="66"/>
      <c r="AH87" s="66"/>
      <c r="AI87" s="66">
        <f t="shared" si="42"/>
        <v>0</v>
      </c>
      <c r="AJ87" s="65"/>
      <c r="AK87" s="65"/>
      <c r="AL87" s="65">
        <f t="shared" si="43"/>
        <v>0</v>
      </c>
      <c r="AM87" s="66"/>
      <c r="AN87" s="66"/>
      <c r="AO87" s="66">
        <f t="shared" ref="AO87:AO89" si="59">AM87+AN87</f>
        <v>0</v>
      </c>
    </row>
    <row r="88" spans="1:41" ht="17.25" x14ac:dyDescent="0.3">
      <c r="A88" s="70" t="s">
        <v>78</v>
      </c>
      <c r="B88" s="16"/>
      <c r="C88" s="21"/>
      <c r="D88" s="28"/>
      <c r="F88" s="65"/>
      <c r="G88" s="65"/>
      <c r="H88" s="65">
        <f t="shared" si="33"/>
        <v>0</v>
      </c>
      <c r="I88" s="66"/>
      <c r="J88" s="66"/>
      <c r="K88" s="66">
        <f t="shared" si="34"/>
        <v>0</v>
      </c>
      <c r="L88" s="65"/>
      <c r="M88" s="65"/>
      <c r="N88" s="65">
        <f t="shared" si="35"/>
        <v>0</v>
      </c>
      <c r="O88" s="66"/>
      <c r="P88" s="66"/>
      <c r="Q88" s="66">
        <f t="shared" si="36"/>
        <v>0</v>
      </c>
      <c r="R88" s="65"/>
      <c r="S88" s="65"/>
      <c r="T88" s="65">
        <f t="shared" si="37"/>
        <v>0</v>
      </c>
      <c r="U88" s="66"/>
      <c r="V88" s="66"/>
      <c r="W88" s="66">
        <f t="shared" si="38"/>
        <v>0</v>
      </c>
      <c r="X88" s="65"/>
      <c r="Y88" s="65"/>
      <c r="Z88" s="65">
        <f t="shared" si="39"/>
        <v>0</v>
      </c>
      <c r="AA88" s="66"/>
      <c r="AB88" s="66"/>
      <c r="AC88" s="66">
        <f t="shared" si="40"/>
        <v>0</v>
      </c>
      <c r="AD88" s="65"/>
      <c r="AE88" s="65"/>
      <c r="AF88" s="65">
        <f t="shared" si="41"/>
        <v>0</v>
      </c>
      <c r="AG88" s="66"/>
      <c r="AH88" s="66"/>
      <c r="AI88" s="66">
        <f t="shared" si="42"/>
        <v>0</v>
      </c>
      <c r="AJ88" s="65"/>
      <c r="AK88" s="65"/>
      <c r="AL88" s="65">
        <f t="shared" si="43"/>
        <v>0</v>
      </c>
      <c r="AM88" s="66"/>
      <c r="AN88" s="66"/>
      <c r="AO88" s="66">
        <f t="shared" si="59"/>
        <v>0</v>
      </c>
    </row>
    <row r="89" spans="1:41" ht="17.25" x14ac:dyDescent="0.3">
      <c r="A89" s="15" t="s">
        <v>34</v>
      </c>
      <c r="B89" s="16"/>
      <c r="C89" s="14">
        <f>H89+K89+N89+Q89+T89+W89+Z89+AC89+AF89+AI89+AL89+AO89</f>
        <v>1456481</v>
      </c>
      <c r="D89" s="28"/>
      <c r="F89" s="65">
        <v>1456481</v>
      </c>
      <c r="G89" s="65"/>
      <c r="H89" s="65">
        <f t="shared" si="33"/>
        <v>1456481</v>
      </c>
      <c r="I89" s="66"/>
      <c r="J89" s="66"/>
      <c r="K89" s="66">
        <f t="shared" si="34"/>
        <v>0</v>
      </c>
      <c r="L89" s="65"/>
      <c r="M89" s="65"/>
      <c r="N89" s="65">
        <f t="shared" si="35"/>
        <v>0</v>
      </c>
      <c r="O89" s="66"/>
      <c r="P89" s="66"/>
      <c r="Q89" s="66">
        <f t="shared" si="36"/>
        <v>0</v>
      </c>
      <c r="R89" s="65"/>
      <c r="S89" s="65"/>
      <c r="T89" s="65">
        <f t="shared" si="37"/>
        <v>0</v>
      </c>
      <c r="U89" s="66"/>
      <c r="V89" s="66"/>
      <c r="W89" s="66">
        <f t="shared" si="38"/>
        <v>0</v>
      </c>
      <c r="X89" s="65"/>
      <c r="Y89" s="65"/>
      <c r="Z89" s="65">
        <f t="shared" si="39"/>
        <v>0</v>
      </c>
      <c r="AA89" s="66"/>
      <c r="AB89" s="66"/>
      <c r="AC89" s="66">
        <f t="shared" si="40"/>
        <v>0</v>
      </c>
      <c r="AD89" s="65"/>
      <c r="AE89" s="65"/>
      <c r="AF89" s="65">
        <f t="shared" si="41"/>
        <v>0</v>
      </c>
      <c r="AG89" s="66"/>
      <c r="AH89" s="66"/>
      <c r="AI89" s="66">
        <f t="shared" si="42"/>
        <v>0</v>
      </c>
      <c r="AJ89" s="65"/>
      <c r="AK89" s="65"/>
      <c r="AL89" s="65">
        <f t="shared" si="43"/>
        <v>0</v>
      </c>
      <c r="AM89" s="66"/>
      <c r="AN89" s="66"/>
      <c r="AO89" s="66">
        <f t="shared" si="59"/>
        <v>0</v>
      </c>
    </row>
    <row r="90" spans="1:41" ht="17.25" x14ac:dyDescent="0.3">
      <c r="A90" s="71" t="s">
        <v>77</v>
      </c>
      <c r="B90" s="16"/>
      <c r="C90" s="17">
        <f>C89</f>
        <v>1456481</v>
      </c>
      <c r="D90" s="28"/>
      <c r="F90" s="17">
        <f>F89</f>
        <v>1456481</v>
      </c>
      <c r="G90" s="17">
        <f t="shared" ref="G90:AL90" si="60">G89</f>
        <v>0</v>
      </c>
      <c r="H90" s="17">
        <f t="shared" si="60"/>
        <v>1456481</v>
      </c>
      <c r="I90" s="17">
        <f t="shared" si="60"/>
        <v>0</v>
      </c>
      <c r="J90" s="17">
        <f t="shared" si="60"/>
        <v>0</v>
      </c>
      <c r="K90" s="17">
        <f t="shared" si="60"/>
        <v>0</v>
      </c>
      <c r="L90" s="17">
        <f t="shared" si="60"/>
        <v>0</v>
      </c>
      <c r="M90" s="17">
        <f t="shared" si="60"/>
        <v>0</v>
      </c>
      <c r="N90" s="17">
        <f t="shared" si="60"/>
        <v>0</v>
      </c>
      <c r="O90" s="17">
        <f t="shared" si="60"/>
        <v>0</v>
      </c>
      <c r="P90" s="17">
        <f t="shared" si="60"/>
        <v>0</v>
      </c>
      <c r="Q90" s="17">
        <f t="shared" si="60"/>
        <v>0</v>
      </c>
      <c r="R90" s="17">
        <f t="shared" si="60"/>
        <v>0</v>
      </c>
      <c r="S90" s="17">
        <f t="shared" si="60"/>
        <v>0</v>
      </c>
      <c r="T90" s="17">
        <f t="shared" si="60"/>
        <v>0</v>
      </c>
      <c r="U90" s="17">
        <f t="shared" si="60"/>
        <v>0</v>
      </c>
      <c r="V90" s="17">
        <f t="shared" si="60"/>
        <v>0</v>
      </c>
      <c r="W90" s="17">
        <f t="shared" si="60"/>
        <v>0</v>
      </c>
      <c r="X90" s="17">
        <f t="shared" si="60"/>
        <v>0</v>
      </c>
      <c r="Y90" s="17">
        <f t="shared" si="60"/>
        <v>0</v>
      </c>
      <c r="Z90" s="17">
        <f t="shared" si="60"/>
        <v>0</v>
      </c>
      <c r="AA90" s="17">
        <f t="shared" si="60"/>
        <v>0</v>
      </c>
      <c r="AB90" s="17">
        <f t="shared" si="60"/>
        <v>0</v>
      </c>
      <c r="AC90" s="17">
        <f t="shared" si="60"/>
        <v>0</v>
      </c>
      <c r="AD90" s="17">
        <f t="shared" si="60"/>
        <v>0</v>
      </c>
      <c r="AE90" s="17">
        <f t="shared" si="60"/>
        <v>0</v>
      </c>
      <c r="AF90" s="17">
        <f t="shared" si="60"/>
        <v>0</v>
      </c>
      <c r="AG90" s="17">
        <f t="shared" si="60"/>
        <v>0</v>
      </c>
      <c r="AH90" s="17">
        <f t="shared" si="60"/>
        <v>0</v>
      </c>
      <c r="AI90" s="17">
        <f t="shared" si="60"/>
        <v>0</v>
      </c>
      <c r="AJ90" s="17">
        <f t="shared" si="60"/>
        <v>0</v>
      </c>
      <c r="AK90" s="17">
        <f t="shared" si="60"/>
        <v>0</v>
      </c>
      <c r="AL90" s="17">
        <f t="shared" si="60"/>
        <v>0</v>
      </c>
      <c r="AM90" s="17">
        <f t="shared" ref="AM90:AO90" si="61">AM89</f>
        <v>0</v>
      </c>
      <c r="AN90" s="17">
        <f t="shared" si="61"/>
        <v>0</v>
      </c>
      <c r="AO90" s="17">
        <f t="shared" si="61"/>
        <v>0</v>
      </c>
    </row>
    <row r="91" spans="1:41" ht="11.1" customHeight="1" x14ac:dyDescent="0.3">
      <c r="A91" s="15"/>
      <c r="B91" s="16"/>
      <c r="C91" s="24"/>
      <c r="D91" s="24"/>
      <c r="F91" s="65"/>
      <c r="G91" s="65"/>
      <c r="H91" s="65"/>
      <c r="I91" s="66"/>
      <c r="J91" s="66"/>
      <c r="K91" s="66"/>
      <c r="L91" s="65"/>
      <c r="M91" s="65"/>
      <c r="N91" s="65"/>
      <c r="O91" s="66"/>
      <c r="P91" s="66"/>
      <c r="Q91" s="66"/>
      <c r="R91" s="65"/>
      <c r="S91" s="65"/>
      <c r="T91" s="65"/>
      <c r="U91" s="66"/>
      <c r="V91" s="66"/>
      <c r="W91" s="66"/>
      <c r="X91" s="65"/>
      <c r="Y91" s="65"/>
      <c r="Z91" s="65"/>
      <c r="AA91" s="66"/>
      <c r="AB91" s="66"/>
      <c r="AC91" s="66"/>
      <c r="AD91" s="65"/>
      <c r="AE91" s="65"/>
      <c r="AF91" s="65"/>
      <c r="AG91" s="66"/>
      <c r="AH91" s="66"/>
      <c r="AI91" s="66"/>
      <c r="AJ91" s="65"/>
      <c r="AK91" s="65"/>
      <c r="AL91" s="65"/>
      <c r="AM91" s="66"/>
      <c r="AN91" s="66"/>
      <c r="AO91" s="66"/>
    </row>
    <row r="92" spans="1:41" ht="17.25" x14ac:dyDescent="0.3">
      <c r="A92" s="70" t="s">
        <v>79</v>
      </c>
      <c r="B92" s="16"/>
      <c r="C92" s="19"/>
      <c r="D92" s="24"/>
      <c r="F92" s="65"/>
      <c r="G92" s="65"/>
      <c r="H92" s="65"/>
      <c r="I92" s="66"/>
      <c r="J92" s="66"/>
      <c r="K92" s="66"/>
      <c r="L92" s="65"/>
      <c r="M92" s="65"/>
      <c r="N92" s="65"/>
      <c r="O92" s="66"/>
      <c r="P92" s="66"/>
      <c r="Q92" s="66"/>
      <c r="R92" s="65"/>
      <c r="S92" s="65"/>
      <c r="T92" s="65"/>
      <c r="U92" s="66"/>
      <c r="V92" s="66"/>
      <c r="W92" s="66"/>
      <c r="X92" s="65"/>
      <c r="Y92" s="65"/>
      <c r="Z92" s="65"/>
      <c r="AA92" s="66"/>
      <c r="AB92" s="66"/>
      <c r="AC92" s="66"/>
      <c r="AD92" s="65"/>
      <c r="AE92" s="65"/>
      <c r="AF92" s="65"/>
      <c r="AG92" s="66"/>
      <c r="AH92" s="66"/>
      <c r="AI92" s="66"/>
      <c r="AJ92" s="65"/>
      <c r="AK92" s="65"/>
      <c r="AL92" s="65"/>
      <c r="AM92" s="66"/>
      <c r="AN92" s="66"/>
      <c r="AO92" s="66"/>
    </row>
    <row r="93" spans="1:41" ht="17.25" x14ac:dyDescent="0.3">
      <c r="A93" s="68" t="s">
        <v>75</v>
      </c>
      <c r="B93" s="16"/>
      <c r="C93" s="14">
        <f>H93+K93+N93+Q93+T93+W93+Z93+AC93+AF93+AI93+AL93+AO93</f>
        <v>48958.55</v>
      </c>
      <c r="D93" s="24"/>
      <c r="F93" s="65">
        <v>48958.55</v>
      </c>
      <c r="G93" s="65"/>
      <c r="H93" s="65">
        <f t="shared" si="33"/>
        <v>48958.55</v>
      </c>
      <c r="I93" s="66"/>
      <c r="J93" s="66"/>
      <c r="K93" s="66">
        <f t="shared" si="34"/>
        <v>0</v>
      </c>
      <c r="L93" s="65"/>
      <c r="M93" s="65"/>
      <c r="N93" s="65">
        <f t="shared" si="35"/>
        <v>0</v>
      </c>
      <c r="O93" s="66"/>
      <c r="P93" s="66"/>
      <c r="Q93" s="66">
        <f t="shared" si="36"/>
        <v>0</v>
      </c>
      <c r="R93" s="65"/>
      <c r="S93" s="65"/>
      <c r="T93" s="65">
        <f t="shared" si="37"/>
        <v>0</v>
      </c>
      <c r="U93" s="66"/>
      <c r="V93" s="66"/>
      <c r="W93" s="66">
        <f t="shared" si="38"/>
        <v>0</v>
      </c>
      <c r="X93" s="65"/>
      <c r="Y93" s="65"/>
      <c r="Z93" s="65">
        <f t="shared" si="39"/>
        <v>0</v>
      </c>
      <c r="AA93" s="66"/>
      <c r="AB93" s="66"/>
      <c r="AC93" s="66">
        <f t="shared" si="40"/>
        <v>0</v>
      </c>
      <c r="AD93" s="65"/>
      <c r="AE93" s="65"/>
      <c r="AF93" s="65">
        <f t="shared" si="41"/>
        <v>0</v>
      </c>
      <c r="AG93" s="66"/>
      <c r="AH93" s="66"/>
      <c r="AI93" s="66">
        <f t="shared" si="42"/>
        <v>0</v>
      </c>
      <c r="AJ93" s="65"/>
      <c r="AK93" s="65"/>
      <c r="AL93" s="65">
        <f t="shared" si="43"/>
        <v>0</v>
      </c>
      <c r="AM93" s="66"/>
      <c r="AN93" s="66"/>
      <c r="AO93" s="66">
        <f t="shared" ref="AO93:AO96" si="62">AM93+AN93</f>
        <v>0</v>
      </c>
    </row>
    <row r="94" spans="1:41" ht="17.25" x14ac:dyDescent="0.3">
      <c r="A94" s="15" t="s">
        <v>35</v>
      </c>
      <c r="B94" s="16"/>
      <c r="C94" s="14">
        <f>H94+K94+N94+Q94+T94+W94+Z94+AC94+AF94+AI94+AL94+AO94</f>
        <v>194422.45</v>
      </c>
      <c r="D94" s="24"/>
      <c r="F94" s="65">
        <v>96034.6</v>
      </c>
      <c r="G94" s="65"/>
      <c r="H94" s="65">
        <f t="shared" si="33"/>
        <v>96034.6</v>
      </c>
      <c r="I94" s="66"/>
      <c r="J94" s="66"/>
      <c r="K94" s="66">
        <f t="shared" si="34"/>
        <v>0</v>
      </c>
      <c r="L94" s="65">
        <v>82057.850000000006</v>
      </c>
      <c r="M94" s="65"/>
      <c r="N94" s="65">
        <f t="shared" si="35"/>
        <v>82057.850000000006</v>
      </c>
      <c r="O94" s="66">
        <v>16330</v>
      </c>
      <c r="P94" s="66"/>
      <c r="Q94" s="66">
        <f t="shared" si="36"/>
        <v>16330</v>
      </c>
      <c r="R94" s="65"/>
      <c r="S94" s="65"/>
      <c r="T94" s="65">
        <f t="shared" si="37"/>
        <v>0</v>
      </c>
      <c r="U94" s="66"/>
      <c r="V94" s="66"/>
      <c r="W94" s="66">
        <f t="shared" si="38"/>
        <v>0</v>
      </c>
      <c r="X94" s="65"/>
      <c r="Y94" s="65"/>
      <c r="Z94" s="65">
        <f t="shared" si="39"/>
        <v>0</v>
      </c>
      <c r="AA94" s="66"/>
      <c r="AB94" s="66"/>
      <c r="AC94" s="66">
        <f t="shared" si="40"/>
        <v>0</v>
      </c>
      <c r="AD94" s="65"/>
      <c r="AE94" s="65"/>
      <c r="AF94" s="65">
        <f t="shared" si="41"/>
        <v>0</v>
      </c>
      <c r="AG94" s="66"/>
      <c r="AH94" s="66"/>
      <c r="AI94" s="66">
        <f t="shared" si="42"/>
        <v>0</v>
      </c>
      <c r="AJ94" s="65"/>
      <c r="AK94" s="65"/>
      <c r="AL94" s="65">
        <f t="shared" si="43"/>
        <v>0</v>
      </c>
      <c r="AM94" s="66"/>
      <c r="AN94" s="66"/>
      <c r="AO94" s="66">
        <f t="shared" si="62"/>
        <v>0</v>
      </c>
    </row>
    <row r="95" spans="1:41" ht="17.25" x14ac:dyDescent="0.3">
      <c r="A95" s="68" t="s">
        <v>76</v>
      </c>
      <c r="B95" s="16"/>
      <c r="C95" s="14">
        <f>H95+K95+N95+Q95+T95+W95+Z95+AC95+AF95+AI95+AL95+AO95</f>
        <v>48063</v>
      </c>
      <c r="D95" s="24"/>
      <c r="F95" s="65">
        <v>22838</v>
      </c>
      <c r="G95" s="65"/>
      <c r="H95" s="65">
        <f t="shared" si="33"/>
        <v>22838</v>
      </c>
      <c r="I95" s="66">
        <v>25225</v>
      </c>
      <c r="J95" s="66"/>
      <c r="K95" s="66">
        <f t="shared" si="34"/>
        <v>25225</v>
      </c>
      <c r="L95" s="65"/>
      <c r="M95" s="65"/>
      <c r="N95" s="65">
        <f t="shared" si="35"/>
        <v>0</v>
      </c>
      <c r="O95" s="66"/>
      <c r="P95" s="66"/>
      <c r="Q95" s="66">
        <f t="shared" si="36"/>
        <v>0</v>
      </c>
      <c r="R95" s="65"/>
      <c r="S95" s="65"/>
      <c r="T95" s="65">
        <f t="shared" si="37"/>
        <v>0</v>
      </c>
      <c r="U95" s="66"/>
      <c r="V95" s="66"/>
      <c r="W95" s="66">
        <f t="shared" si="38"/>
        <v>0</v>
      </c>
      <c r="X95" s="65"/>
      <c r="Y95" s="65"/>
      <c r="Z95" s="65">
        <f t="shared" si="39"/>
        <v>0</v>
      </c>
      <c r="AA95" s="66"/>
      <c r="AB95" s="66"/>
      <c r="AC95" s="66">
        <f t="shared" si="40"/>
        <v>0</v>
      </c>
      <c r="AD95" s="65"/>
      <c r="AE95" s="65"/>
      <c r="AF95" s="65">
        <f t="shared" si="41"/>
        <v>0</v>
      </c>
      <c r="AG95" s="66"/>
      <c r="AH95" s="66"/>
      <c r="AI95" s="66">
        <f t="shared" si="42"/>
        <v>0</v>
      </c>
      <c r="AJ95" s="65"/>
      <c r="AK95" s="65"/>
      <c r="AL95" s="65">
        <f t="shared" si="43"/>
        <v>0</v>
      </c>
      <c r="AM95" s="66"/>
      <c r="AN95" s="66"/>
      <c r="AO95" s="66">
        <f t="shared" si="62"/>
        <v>0</v>
      </c>
    </row>
    <row r="96" spans="1:41" ht="18.95" customHeight="1" x14ac:dyDescent="0.3">
      <c r="A96" s="15" t="s">
        <v>36</v>
      </c>
      <c r="B96" s="16"/>
      <c r="C96" s="14">
        <f>H96+K96+N96+Q96+T96+W96+Z96+AC96+AF96+AI96+AL96+AO96</f>
        <v>289986</v>
      </c>
      <c r="D96" s="45"/>
      <c r="F96" s="65">
        <v>126453</v>
      </c>
      <c r="G96" s="76">
        <f>-45000-29167</f>
        <v>-74167</v>
      </c>
      <c r="H96" s="65">
        <f t="shared" si="33"/>
        <v>52286</v>
      </c>
      <c r="I96" s="66">
        <v>193564</v>
      </c>
      <c r="J96" s="78">
        <v>-7864</v>
      </c>
      <c r="K96" s="66">
        <f t="shared" si="34"/>
        <v>185700</v>
      </c>
      <c r="L96" s="65"/>
      <c r="M96" s="65"/>
      <c r="N96" s="65">
        <f t="shared" si="35"/>
        <v>0</v>
      </c>
      <c r="O96" s="66">
        <f>42632+50000</f>
        <v>92632</v>
      </c>
      <c r="P96" s="77">
        <v>-42632</v>
      </c>
      <c r="Q96" s="66">
        <f t="shared" si="36"/>
        <v>50000</v>
      </c>
      <c r="R96" s="65">
        <v>2000</v>
      </c>
      <c r="S96" s="65"/>
      <c r="T96" s="65">
        <f t="shared" si="37"/>
        <v>2000</v>
      </c>
      <c r="U96" s="66"/>
      <c r="V96" s="66"/>
      <c r="W96" s="66">
        <f t="shared" si="38"/>
        <v>0</v>
      </c>
      <c r="X96" s="65"/>
      <c r="Y96" s="65"/>
      <c r="Z96" s="65">
        <f t="shared" si="39"/>
        <v>0</v>
      </c>
      <c r="AA96" s="66"/>
      <c r="AB96" s="66"/>
      <c r="AC96" s="66">
        <f t="shared" si="40"/>
        <v>0</v>
      </c>
      <c r="AD96" s="65"/>
      <c r="AE96" s="65"/>
      <c r="AF96" s="65">
        <f t="shared" si="41"/>
        <v>0</v>
      </c>
      <c r="AG96" s="66"/>
      <c r="AH96" s="66"/>
      <c r="AI96" s="66">
        <f t="shared" si="42"/>
        <v>0</v>
      </c>
      <c r="AJ96" s="65"/>
      <c r="AK96" s="65"/>
      <c r="AL96" s="65">
        <f t="shared" si="43"/>
        <v>0</v>
      </c>
      <c r="AM96" s="66"/>
      <c r="AN96" s="66"/>
      <c r="AO96" s="66">
        <f t="shared" si="62"/>
        <v>0</v>
      </c>
    </row>
    <row r="97" spans="1:44" ht="18.95" customHeight="1" x14ac:dyDescent="0.3">
      <c r="A97" s="70" t="s">
        <v>80</v>
      </c>
      <c r="B97" s="16"/>
      <c r="C97" s="28">
        <f>SUM(C93:C96)</f>
        <v>581430</v>
      </c>
      <c r="D97" s="28"/>
      <c r="F97" s="28">
        <f>SUM(F93:F96)</f>
        <v>294284.15000000002</v>
      </c>
      <c r="G97" s="28">
        <f>SUM(G93:G96)</f>
        <v>-74167</v>
      </c>
      <c r="H97" s="28">
        <f>SUM(H93:H96)</f>
        <v>220117.15000000002</v>
      </c>
      <c r="I97" s="28">
        <f t="shared" ref="I97:AL97" si="63">SUM(I93:I96)</f>
        <v>218789</v>
      </c>
      <c r="J97" s="28">
        <f t="shared" si="63"/>
        <v>-7864</v>
      </c>
      <c r="K97" s="28">
        <f t="shared" si="63"/>
        <v>210925</v>
      </c>
      <c r="L97" s="28">
        <f t="shared" si="63"/>
        <v>82057.850000000006</v>
      </c>
      <c r="M97" s="28">
        <f t="shared" si="63"/>
        <v>0</v>
      </c>
      <c r="N97" s="28">
        <f t="shared" si="63"/>
        <v>82057.850000000006</v>
      </c>
      <c r="O97" s="28">
        <f t="shared" si="63"/>
        <v>108962</v>
      </c>
      <c r="P97" s="28">
        <f t="shared" si="63"/>
        <v>-42632</v>
      </c>
      <c r="Q97" s="28">
        <f t="shared" si="63"/>
        <v>66330</v>
      </c>
      <c r="R97" s="28">
        <f t="shared" si="63"/>
        <v>2000</v>
      </c>
      <c r="S97" s="28">
        <f t="shared" si="63"/>
        <v>0</v>
      </c>
      <c r="T97" s="28">
        <f t="shared" si="63"/>
        <v>2000</v>
      </c>
      <c r="U97" s="28">
        <f t="shared" si="63"/>
        <v>0</v>
      </c>
      <c r="V97" s="28">
        <f t="shared" si="63"/>
        <v>0</v>
      </c>
      <c r="W97" s="28">
        <f t="shared" si="63"/>
        <v>0</v>
      </c>
      <c r="X97" s="28">
        <f t="shared" si="63"/>
        <v>0</v>
      </c>
      <c r="Y97" s="28">
        <f t="shared" si="63"/>
        <v>0</v>
      </c>
      <c r="Z97" s="28">
        <f t="shared" si="63"/>
        <v>0</v>
      </c>
      <c r="AA97" s="28">
        <f t="shared" si="63"/>
        <v>0</v>
      </c>
      <c r="AB97" s="28">
        <f t="shared" si="63"/>
        <v>0</v>
      </c>
      <c r="AC97" s="28">
        <f t="shared" si="63"/>
        <v>0</v>
      </c>
      <c r="AD97" s="28">
        <f t="shared" si="63"/>
        <v>0</v>
      </c>
      <c r="AE97" s="28">
        <f t="shared" si="63"/>
        <v>0</v>
      </c>
      <c r="AF97" s="28">
        <f t="shared" si="63"/>
        <v>0</v>
      </c>
      <c r="AG97" s="28">
        <f t="shared" si="63"/>
        <v>0</v>
      </c>
      <c r="AH97" s="28">
        <f t="shared" si="63"/>
        <v>0</v>
      </c>
      <c r="AI97" s="28">
        <f t="shared" si="63"/>
        <v>0</v>
      </c>
      <c r="AJ97" s="28">
        <f t="shared" si="63"/>
        <v>0</v>
      </c>
      <c r="AK97" s="28">
        <f t="shared" si="63"/>
        <v>0</v>
      </c>
      <c r="AL97" s="28">
        <f t="shared" si="63"/>
        <v>0</v>
      </c>
      <c r="AM97" s="28">
        <f t="shared" ref="AM97:AO97" si="64">SUM(AM93:AM96)</f>
        <v>0</v>
      </c>
      <c r="AN97" s="28">
        <f t="shared" si="64"/>
        <v>0</v>
      </c>
      <c r="AO97" s="28">
        <f t="shared" si="64"/>
        <v>0</v>
      </c>
    </row>
    <row r="98" spans="1:44" ht="18.95" customHeight="1" x14ac:dyDescent="0.3">
      <c r="A98" s="70" t="s">
        <v>81</v>
      </c>
      <c r="B98" s="16"/>
      <c r="C98" s="72">
        <f>C90+C97</f>
        <v>2037911</v>
      </c>
      <c r="D98" s="28"/>
      <c r="F98" s="72">
        <f>F90+F97</f>
        <v>1750765.15</v>
      </c>
      <c r="G98" s="72">
        <f t="shared" ref="G98:AL98" si="65">G90+G97</f>
        <v>-74167</v>
      </c>
      <c r="H98" s="72">
        <f t="shared" si="65"/>
        <v>1676598.15</v>
      </c>
      <c r="I98" s="72">
        <f t="shared" si="65"/>
        <v>218789</v>
      </c>
      <c r="J98" s="72">
        <f t="shared" si="65"/>
        <v>-7864</v>
      </c>
      <c r="K98" s="72">
        <f t="shared" si="65"/>
        <v>210925</v>
      </c>
      <c r="L98" s="72">
        <f t="shared" si="65"/>
        <v>82057.850000000006</v>
      </c>
      <c r="M98" s="72">
        <f t="shared" si="65"/>
        <v>0</v>
      </c>
      <c r="N98" s="72">
        <f t="shared" si="65"/>
        <v>82057.850000000006</v>
      </c>
      <c r="O98" s="72">
        <f t="shared" si="65"/>
        <v>108962</v>
      </c>
      <c r="P98" s="72">
        <f t="shared" si="65"/>
        <v>-42632</v>
      </c>
      <c r="Q98" s="72">
        <f t="shared" si="65"/>
        <v>66330</v>
      </c>
      <c r="R98" s="72">
        <f t="shared" si="65"/>
        <v>2000</v>
      </c>
      <c r="S98" s="72">
        <f t="shared" si="65"/>
        <v>0</v>
      </c>
      <c r="T98" s="72">
        <f t="shared" si="65"/>
        <v>2000</v>
      </c>
      <c r="U98" s="72">
        <f t="shared" si="65"/>
        <v>0</v>
      </c>
      <c r="V98" s="72">
        <f t="shared" si="65"/>
        <v>0</v>
      </c>
      <c r="W98" s="72">
        <f t="shared" si="65"/>
        <v>0</v>
      </c>
      <c r="X98" s="72">
        <f t="shared" si="65"/>
        <v>0</v>
      </c>
      <c r="Y98" s="72">
        <f t="shared" si="65"/>
        <v>0</v>
      </c>
      <c r="Z98" s="72">
        <f t="shared" si="65"/>
        <v>0</v>
      </c>
      <c r="AA98" s="72">
        <f t="shared" si="65"/>
        <v>0</v>
      </c>
      <c r="AB98" s="72">
        <f t="shared" si="65"/>
        <v>0</v>
      </c>
      <c r="AC98" s="72">
        <f t="shared" si="65"/>
        <v>0</v>
      </c>
      <c r="AD98" s="72">
        <f t="shared" si="65"/>
        <v>0</v>
      </c>
      <c r="AE98" s="72">
        <f t="shared" si="65"/>
        <v>0</v>
      </c>
      <c r="AF98" s="72">
        <f t="shared" si="65"/>
        <v>0</v>
      </c>
      <c r="AG98" s="72">
        <f t="shared" si="65"/>
        <v>0</v>
      </c>
      <c r="AH98" s="72">
        <f t="shared" si="65"/>
        <v>0</v>
      </c>
      <c r="AI98" s="72">
        <f t="shared" si="65"/>
        <v>0</v>
      </c>
      <c r="AJ98" s="72">
        <f t="shared" si="65"/>
        <v>0</v>
      </c>
      <c r="AK98" s="72">
        <f t="shared" si="65"/>
        <v>0</v>
      </c>
      <c r="AL98" s="72">
        <f t="shared" si="65"/>
        <v>0</v>
      </c>
      <c r="AM98" s="72">
        <f t="shared" ref="AM98:AO98" si="66">AM90+AM97</f>
        <v>0</v>
      </c>
      <c r="AN98" s="72">
        <f t="shared" si="66"/>
        <v>0</v>
      </c>
      <c r="AO98" s="72">
        <f t="shared" si="66"/>
        <v>0</v>
      </c>
    </row>
    <row r="99" spans="1:44" ht="18.95" customHeight="1" x14ac:dyDescent="0.3">
      <c r="A99" s="4"/>
      <c r="B99" s="16"/>
      <c r="C99" s="28"/>
      <c r="D99" s="28"/>
      <c r="F99" s="28"/>
      <c r="G99" s="65"/>
      <c r="H99" s="65"/>
      <c r="I99" s="66"/>
      <c r="J99" s="66"/>
      <c r="K99" s="66"/>
      <c r="L99" s="65"/>
      <c r="M99" s="65"/>
      <c r="N99" s="65"/>
      <c r="O99" s="66"/>
      <c r="P99" s="66"/>
      <c r="Q99" s="66"/>
      <c r="R99" s="65"/>
      <c r="S99" s="65"/>
      <c r="T99" s="65"/>
      <c r="U99" s="66"/>
      <c r="V99" s="66"/>
      <c r="W99" s="66"/>
      <c r="X99" s="65"/>
      <c r="Y99" s="65"/>
      <c r="Z99" s="65"/>
      <c r="AA99" s="66"/>
      <c r="AB99" s="66"/>
      <c r="AC99" s="66"/>
      <c r="AD99" s="65"/>
      <c r="AE99" s="65"/>
      <c r="AF99" s="65"/>
      <c r="AG99" s="66"/>
      <c r="AH99" s="66"/>
      <c r="AI99" s="66"/>
      <c r="AJ99" s="65"/>
      <c r="AK99" s="65"/>
      <c r="AL99" s="65"/>
      <c r="AM99" s="66"/>
      <c r="AN99" s="66"/>
      <c r="AO99" s="66"/>
    </row>
    <row r="100" spans="1:44" ht="18.95" customHeight="1" thickBot="1" x14ac:dyDescent="0.35">
      <c r="A100" s="4" t="s">
        <v>37</v>
      </c>
      <c r="B100" s="16"/>
      <c r="C100" s="17">
        <f>C85+C98</f>
        <v>3785016.1</v>
      </c>
      <c r="D100" s="28"/>
      <c r="F100" s="17">
        <f>F85+F98</f>
        <v>2303953.52</v>
      </c>
      <c r="G100" s="17">
        <f t="shared" ref="G100:AL100" si="67">G85+G98</f>
        <v>-74167</v>
      </c>
      <c r="H100" s="17">
        <f t="shared" si="67"/>
        <v>2229786.52</v>
      </c>
      <c r="I100" s="17">
        <f t="shared" si="67"/>
        <v>296570.27</v>
      </c>
      <c r="J100" s="17">
        <f t="shared" si="67"/>
        <v>-7864</v>
      </c>
      <c r="K100" s="17">
        <f t="shared" si="67"/>
        <v>288706.27</v>
      </c>
      <c r="L100" s="17">
        <f t="shared" si="67"/>
        <v>811755.24</v>
      </c>
      <c r="M100" s="17">
        <f t="shared" si="67"/>
        <v>0</v>
      </c>
      <c r="N100" s="17">
        <f t="shared" si="67"/>
        <v>811755.24</v>
      </c>
      <c r="O100" s="17">
        <f t="shared" si="67"/>
        <v>302116</v>
      </c>
      <c r="P100" s="17">
        <f t="shared" si="67"/>
        <v>-42632</v>
      </c>
      <c r="Q100" s="17">
        <f t="shared" si="67"/>
        <v>259484</v>
      </c>
      <c r="R100" s="17">
        <f t="shared" si="67"/>
        <v>29069</v>
      </c>
      <c r="S100" s="17">
        <f t="shared" si="67"/>
        <v>0</v>
      </c>
      <c r="T100" s="17">
        <f t="shared" si="67"/>
        <v>29069</v>
      </c>
      <c r="U100" s="17">
        <f t="shared" si="67"/>
        <v>38865.78</v>
      </c>
      <c r="V100" s="17">
        <f t="shared" si="67"/>
        <v>0</v>
      </c>
      <c r="W100" s="17">
        <f t="shared" si="67"/>
        <v>38865.78</v>
      </c>
      <c r="X100" s="17">
        <f t="shared" si="67"/>
        <v>32588</v>
      </c>
      <c r="Y100" s="17">
        <f t="shared" si="67"/>
        <v>0</v>
      </c>
      <c r="Z100" s="17">
        <f t="shared" si="67"/>
        <v>32588</v>
      </c>
      <c r="AA100" s="17">
        <f t="shared" si="67"/>
        <v>1772.21</v>
      </c>
      <c r="AB100" s="17">
        <f t="shared" si="67"/>
        <v>0</v>
      </c>
      <c r="AC100" s="17">
        <f t="shared" si="67"/>
        <v>1772.21</v>
      </c>
      <c r="AD100" s="17">
        <f t="shared" si="67"/>
        <v>3707.08</v>
      </c>
      <c r="AE100" s="17">
        <f t="shared" si="67"/>
        <v>0</v>
      </c>
      <c r="AF100" s="17">
        <f t="shared" si="67"/>
        <v>3707.08</v>
      </c>
      <c r="AG100" s="17">
        <f t="shared" si="67"/>
        <v>30018</v>
      </c>
      <c r="AH100" s="17">
        <f t="shared" si="67"/>
        <v>0</v>
      </c>
      <c r="AI100" s="17">
        <f t="shared" si="67"/>
        <v>30018</v>
      </c>
      <c r="AJ100" s="17">
        <f t="shared" si="67"/>
        <v>34551</v>
      </c>
      <c r="AK100" s="17">
        <f t="shared" si="67"/>
        <v>0</v>
      </c>
      <c r="AL100" s="17">
        <f t="shared" si="67"/>
        <v>34551</v>
      </c>
      <c r="AM100" s="17">
        <f t="shared" ref="AM100:AO100" si="68">AM85+AM98</f>
        <v>24713</v>
      </c>
      <c r="AN100" s="17">
        <f t="shared" si="68"/>
        <v>0</v>
      </c>
      <c r="AO100" s="17">
        <f t="shared" si="68"/>
        <v>24713</v>
      </c>
      <c r="AR100" s="51"/>
    </row>
    <row r="101" spans="1:44" ht="15.75" thickTop="1" x14ac:dyDescent="0.2">
      <c r="C101" s="73">
        <f>C75-C100</f>
        <v>0</v>
      </c>
      <c r="D101" s="50"/>
      <c r="F101" s="73">
        <f>F75-F100</f>
        <v>0</v>
      </c>
      <c r="G101" s="73">
        <f t="shared" ref="G101:AL101" si="69">G75-G100</f>
        <v>23671</v>
      </c>
      <c r="H101" s="73">
        <f t="shared" si="69"/>
        <v>23671</v>
      </c>
      <c r="I101" s="73">
        <f t="shared" si="69"/>
        <v>0</v>
      </c>
      <c r="J101" s="73">
        <f t="shared" si="69"/>
        <v>-21303</v>
      </c>
      <c r="K101" s="73">
        <f t="shared" si="69"/>
        <v>-21303</v>
      </c>
      <c r="L101" s="73">
        <f t="shared" si="69"/>
        <v>0</v>
      </c>
      <c r="M101" s="73">
        <f t="shared" si="69"/>
        <v>0</v>
      </c>
      <c r="N101" s="73">
        <f t="shared" si="69"/>
        <v>0</v>
      </c>
      <c r="O101" s="73">
        <f t="shared" si="69"/>
        <v>0</v>
      </c>
      <c r="P101" s="73">
        <f t="shared" si="69"/>
        <v>-2368</v>
      </c>
      <c r="Q101" s="73">
        <f t="shared" si="69"/>
        <v>-2368</v>
      </c>
      <c r="R101" s="73">
        <f t="shared" si="69"/>
        <v>0</v>
      </c>
      <c r="S101" s="73">
        <f t="shared" si="69"/>
        <v>0</v>
      </c>
      <c r="T101" s="73">
        <f t="shared" si="69"/>
        <v>0</v>
      </c>
      <c r="U101" s="73">
        <f t="shared" si="69"/>
        <v>0</v>
      </c>
      <c r="V101" s="73">
        <f t="shared" si="69"/>
        <v>0</v>
      </c>
      <c r="W101" s="73">
        <f t="shared" si="69"/>
        <v>0</v>
      </c>
      <c r="X101" s="73">
        <f t="shared" si="69"/>
        <v>0</v>
      </c>
      <c r="Y101" s="73">
        <f t="shared" si="69"/>
        <v>0</v>
      </c>
      <c r="Z101" s="73">
        <f t="shared" si="69"/>
        <v>0</v>
      </c>
      <c r="AA101" s="73">
        <f t="shared" si="69"/>
        <v>0</v>
      </c>
      <c r="AB101" s="73">
        <f t="shared" si="69"/>
        <v>0</v>
      </c>
      <c r="AC101" s="73">
        <f t="shared" si="69"/>
        <v>0</v>
      </c>
      <c r="AD101" s="73">
        <f t="shared" si="69"/>
        <v>0</v>
      </c>
      <c r="AE101" s="73">
        <f t="shared" si="69"/>
        <v>0</v>
      </c>
      <c r="AF101" s="73">
        <f t="shared" si="69"/>
        <v>0</v>
      </c>
      <c r="AG101" s="73">
        <f t="shared" si="69"/>
        <v>0</v>
      </c>
      <c r="AH101" s="73">
        <f t="shared" si="69"/>
        <v>0</v>
      </c>
      <c r="AI101" s="73">
        <f t="shared" si="69"/>
        <v>0</v>
      </c>
      <c r="AJ101" s="73">
        <f t="shared" si="69"/>
        <v>0</v>
      </c>
      <c r="AK101" s="73">
        <f t="shared" si="69"/>
        <v>0</v>
      </c>
      <c r="AL101" s="73">
        <f t="shared" si="69"/>
        <v>0</v>
      </c>
      <c r="AM101" s="73">
        <f t="shared" ref="AM101:AO101" si="70">AM75-AM100</f>
        <v>0</v>
      </c>
      <c r="AN101" s="73">
        <f t="shared" si="70"/>
        <v>0</v>
      </c>
      <c r="AO101" s="73">
        <f t="shared" si="70"/>
        <v>0</v>
      </c>
    </row>
    <row r="102" spans="1:44" x14ac:dyDescent="0.2">
      <c r="C102" s="50"/>
      <c r="D102" s="50"/>
    </row>
    <row r="103" spans="1:44" x14ac:dyDescent="0.2">
      <c r="C103" s="51"/>
      <c r="D103" s="52"/>
    </row>
    <row r="104" spans="1:44" x14ac:dyDescent="0.2">
      <c r="A104" s="15"/>
      <c r="B104" s="5"/>
      <c r="C104" s="5"/>
      <c r="D104" s="56"/>
    </row>
    <row r="105" spans="1:44" x14ac:dyDescent="0.2">
      <c r="A105" s="15"/>
      <c r="C105" s="15"/>
      <c r="D105" s="12"/>
    </row>
    <row r="106" spans="1:44" x14ac:dyDescent="0.2">
      <c r="A106" s="15"/>
      <c r="C106" s="15"/>
      <c r="D106" s="12"/>
    </row>
    <row r="107" spans="1:44" x14ac:dyDescent="0.2">
      <c r="A107" s="15"/>
      <c r="C107" s="15"/>
      <c r="D107" s="12"/>
    </row>
    <row r="108" spans="1:44" x14ac:dyDescent="0.2">
      <c r="A108" s="15"/>
      <c r="C108" s="15"/>
      <c r="D108" s="12"/>
    </row>
    <row r="109" spans="1:44" ht="15.75" x14ac:dyDescent="0.25">
      <c r="A109" s="71" t="s">
        <v>130</v>
      </c>
      <c r="C109" s="15"/>
      <c r="D109" s="12"/>
    </row>
    <row r="110" spans="1:44" x14ac:dyDescent="0.2">
      <c r="A110" s="15" t="s">
        <v>131</v>
      </c>
      <c r="B110" s="98"/>
      <c r="C110" s="102">
        <f t="shared" ref="C110:C124" si="71">F110+I110+L110+O110+R110+U110+X110+AA110+AD110+AG110+AJ110+AM110</f>
        <v>0</v>
      </c>
      <c r="D110" s="56"/>
    </row>
    <row r="111" spans="1:44" x14ac:dyDescent="0.2">
      <c r="A111" s="15" t="s">
        <v>132</v>
      </c>
      <c r="B111" s="98"/>
      <c r="C111" s="102">
        <f t="shared" si="71"/>
        <v>0</v>
      </c>
      <c r="D111" s="56"/>
    </row>
    <row r="112" spans="1:44" x14ac:dyDescent="0.2">
      <c r="A112" s="15" t="s">
        <v>133</v>
      </c>
      <c r="B112" s="98"/>
      <c r="C112" s="102">
        <f t="shared" si="71"/>
        <v>0</v>
      </c>
      <c r="D112" s="56"/>
    </row>
    <row r="113" spans="1:24" x14ac:dyDescent="0.2">
      <c r="A113" s="15" t="s">
        <v>134</v>
      </c>
      <c r="B113" s="98"/>
      <c r="C113" s="102">
        <f t="shared" si="71"/>
        <v>0</v>
      </c>
      <c r="D113" s="56"/>
    </row>
    <row r="114" spans="1:24" x14ac:dyDescent="0.2">
      <c r="A114" s="15" t="s">
        <v>146</v>
      </c>
      <c r="B114" s="98"/>
      <c r="C114" s="102">
        <f t="shared" si="71"/>
        <v>276641</v>
      </c>
      <c r="D114" s="56"/>
      <c r="F114" s="3">
        <v>276641</v>
      </c>
    </row>
    <row r="115" spans="1:24" x14ac:dyDescent="0.2">
      <c r="A115" s="15" t="s">
        <v>145</v>
      </c>
      <c r="B115" s="98"/>
      <c r="C115" s="102">
        <f t="shared" si="71"/>
        <v>0</v>
      </c>
      <c r="D115" s="56"/>
    </row>
    <row r="116" spans="1:24" x14ac:dyDescent="0.2">
      <c r="A116" s="15" t="s">
        <v>135</v>
      </c>
      <c r="B116" s="98"/>
      <c r="C116" s="102">
        <f t="shared" si="71"/>
        <v>116370</v>
      </c>
      <c r="D116" s="56"/>
      <c r="I116" s="3">
        <v>45890</v>
      </c>
      <c r="L116" s="3">
        <v>47470</v>
      </c>
      <c r="O116" s="3">
        <v>23010</v>
      </c>
    </row>
    <row r="117" spans="1:24" x14ac:dyDescent="0.2">
      <c r="A117" s="15" t="s">
        <v>136</v>
      </c>
      <c r="B117" s="98"/>
      <c r="C117" s="102">
        <f t="shared" si="71"/>
        <v>128925</v>
      </c>
      <c r="D117" s="56"/>
      <c r="I117" s="3">
        <v>118000</v>
      </c>
      <c r="O117" s="3">
        <v>4000</v>
      </c>
      <c r="X117" s="3">
        <v>6925</v>
      </c>
    </row>
    <row r="118" spans="1:24" x14ac:dyDescent="0.2">
      <c r="A118" s="15" t="s">
        <v>143</v>
      </c>
      <c r="B118" s="98"/>
      <c r="C118" s="102">
        <f t="shared" si="71"/>
        <v>27695</v>
      </c>
      <c r="D118" s="56"/>
      <c r="F118" s="3">
        <v>27695</v>
      </c>
    </row>
    <row r="119" spans="1:24" x14ac:dyDescent="0.2">
      <c r="A119" s="15" t="s">
        <v>140</v>
      </c>
      <c r="B119" s="98"/>
      <c r="C119" s="102">
        <f t="shared" si="71"/>
        <v>18512</v>
      </c>
      <c r="D119" s="57"/>
      <c r="F119" s="3">
        <f>16460+2052</f>
        <v>18512</v>
      </c>
    </row>
    <row r="120" spans="1:24" x14ac:dyDescent="0.2">
      <c r="A120" s="15" t="s">
        <v>137</v>
      </c>
      <c r="B120" s="98"/>
      <c r="C120" s="102">
        <f t="shared" si="71"/>
        <v>62002</v>
      </c>
      <c r="D120" s="57"/>
      <c r="I120" s="3">
        <v>39212</v>
      </c>
      <c r="O120" s="3">
        <v>22790</v>
      </c>
    </row>
    <row r="121" spans="1:24" x14ac:dyDescent="0.2">
      <c r="A121" s="15" t="s">
        <v>138</v>
      </c>
      <c r="B121" s="98"/>
      <c r="C121" s="102">
        <f t="shared" si="71"/>
        <v>100365.5</v>
      </c>
      <c r="D121" s="57"/>
      <c r="I121" s="3">
        <v>100365.5</v>
      </c>
    </row>
    <row r="122" spans="1:24" x14ac:dyDescent="0.2">
      <c r="A122" s="15" t="s">
        <v>144</v>
      </c>
      <c r="B122" s="98"/>
      <c r="C122" s="102">
        <f t="shared" si="71"/>
        <v>28216.5</v>
      </c>
      <c r="D122" s="57"/>
      <c r="F122" s="3">
        <v>6307</v>
      </c>
      <c r="L122" s="3">
        <v>20038.5</v>
      </c>
      <c r="R122" s="3">
        <v>1871</v>
      </c>
    </row>
    <row r="123" spans="1:24" x14ac:dyDescent="0.2">
      <c r="A123" s="15" t="s">
        <v>139</v>
      </c>
      <c r="B123" s="2"/>
      <c r="C123" s="102">
        <f t="shared" si="71"/>
        <v>20310.5</v>
      </c>
      <c r="D123" s="57"/>
      <c r="I123" s="3">
        <v>14290</v>
      </c>
      <c r="O123" s="3">
        <v>6020.5</v>
      </c>
    </row>
    <row r="124" spans="1:24" x14ac:dyDescent="0.2">
      <c r="A124" s="15" t="s">
        <v>141</v>
      </c>
      <c r="B124" s="2"/>
      <c r="C124" s="102">
        <f t="shared" si="71"/>
        <v>12016.710000000003</v>
      </c>
      <c r="D124" s="57"/>
      <c r="F124" s="3">
        <v>907.4</v>
      </c>
      <c r="I124" s="3">
        <v>16834.810000000001</v>
      </c>
      <c r="O124" s="3">
        <v>-6686</v>
      </c>
      <c r="U124" s="3">
        <v>960.5</v>
      </c>
    </row>
    <row r="125" spans="1:24" x14ac:dyDescent="0.2">
      <c r="B125" s="2"/>
      <c r="C125" s="103"/>
      <c r="D125" s="57"/>
    </row>
    <row r="126" spans="1:24" x14ac:dyDescent="0.2">
      <c r="A126" s="3" t="s">
        <v>142</v>
      </c>
      <c r="B126" s="2"/>
      <c r="C126" s="103">
        <f>SUM(C110:C125)</f>
        <v>791054.21</v>
      </c>
      <c r="D126" s="57"/>
      <c r="F126" s="103">
        <f>SUM(F110:F125)</f>
        <v>330062.40000000002</v>
      </c>
      <c r="I126" s="103">
        <f>SUM(I110:I125)</f>
        <v>334592.31</v>
      </c>
      <c r="L126" s="103">
        <f>SUM(L110:L125)</f>
        <v>67508.5</v>
      </c>
      <c r="O126" s="103">
        <f>SUM(O110:O125)</f>
        <v>49134.5</v>
      </c>
      <c r="R126" s="103">
        <f>SUM(R110:R125)</f>
        <v>1871</v>
      </c>
      <c r="U126" s="103">
        <f>SUM(U110:U125)</f>
        <v>960.5</v>
      </c>
      <c r="X126" s="103">
        <f>SUM(X110:X125)</f>
        <v>6925</v>
      </c>
    </row>
    <row r="127" spans="1:24" x14ac:dyDescent="0.2">
      <c r="B127" s="2"/>
      <c r="C127" s="2"/>
      <c r="D127" s="57"/>
    </row>
    <row r="128" spans="1:24" x14ac:dyDescent="0.2">
      <c r="B128" s="2"/>
      <c r="C128" s="2"/>
      <c r="D128" s="57"/>
    </row>
    <row r="129" spans="1:18" x14ac:dyDescent="0.2">
      <c r="B129" s="2"/>
      <c r="C129" s="2"/>
      <c r="D129" s="57"/>
    </row>
    <row r="130" spans="1:18" x14ac:dyDescent="0.2">
      <c r="A130" s="3" t="s">
        <v>155</v>
      </c>
      <c r="B130" s="2"/>
      <c r="C130" s="102">
        <f>F130+I130+L130+O130+R130+U130+X130+AA130+AD130+AG130+AJ130+AM130</f>
        <v>88333</v>
      </c>
      <c r="D130" s="57"/>
      <c r="F130" s="3">
        <v>24250</v>
      </c>
      <c r="I130" s="3">
        <v>28520</v>
      </c>
      <c r="L130" s="3">
        <v>15500</v>
      </c>
      <c r="O130" s="3">
        <v>12875</v>
      </c>
      <c r="R130" s="3">
        <v>7188</v>
      </c>
    </row>
    <row r="131" spans="1:18" x14ac:dyDescent="0.2">
      <c r="B131" s="2"/>
      <c r="C131" s="2"/>
      <c r="D131" s="57"/>
    </row>
    <row r="132" spans="1:18" x14ac:dyDescent="0.2">
      <c r="B132" s="2"/>
      <c r="C132" s="2"/>
      <c r="D132" s="57"/>
    </row>
    <row r="133" spans="1:18" x14ac:dyDescent="0.2">
      <c r="B133" s="2"/>
      <c r="C133" s="2"/>
      <c r="D133" s="57"/>
    </row>
    <row r="134" spans="1:18" x14ac:dyDescent="0.2">
      <c r="B134" s="2"/>
      <c r="C134" s="2"/>
      <c r="D134" s="57"/>
    </row>
    <row r="135" spans="1:18" x14ac:dyDescent="0.2">
      <c r="B135" s="2"/>
      <c r="C135" s="2"/>
      <c r="D135" s="2"/>
    </row>
    <row r="136" spans="1:18" x14ac:dyDescent="0.2">
      <c r="B136" s="2"/>
      <c r="C136" s="2"/>
      <c r="D136" s="2"/>
    </row>
    <row r="137" spans="1:18" x14ac:dyDescent="0.2">
      <c r="B137" s="2"/>
      <c r="C137" s="2"/>
      <c r="D137" s="2"/>
    </row>
    <row r="138" spans="1:18" x14ac:dyDescent="0.2">
      <c r="B138" s="2"/>
      <c r="C138" s="2"/>
      <c r="D138" s="2"/>
    </row>
    <row r="139" spans="1:18" x14ac:dyDescent="0.2">
      <c r="B139" s="2"/>
      <c r="C139" s="2"/>
      <c r="D139" s="2"/>
    </row>
    <row r="140" spans="1:18" x14ac:dyDescent="0.2">
      <c r="B140" s="2"/>
      <c r="C140" s="2"/>
      <c r="D140" s="2"/>
    </row>
    <row r="141" spans="1:18" x14ac:dyDescent="0.2">
      <c r="B141" s="2"/>
      <c r="C141" s="2"/>
      <c r="D141" s="2"/>
    </row>
    <row r="142" spans="1:18" x14ac:dyDescent="0.2">
      <c r="B142" s="2"/>
      <c r="C142" s="2"/>
      <c r="D142" s="2"/>
    </row>
    <row r="143" spans="1:18" x14ac:dyDescent="0.2">
      <c r="B143" s="2"/>
      <c r="C143" s="2"/>
      <c r="D143" s="2"/>
    </row>
    <row r="144" spans="1:18" x14ac:dyDescent="0.2">
      <c r="B144" s="2"/>
      <c r="C144" s="2"/>
      <c r="D144" s="2"/>
    </row>
    <row r="145" spans="2:4" x14ac:dyDescent="0.2">
      <c r="B145" s="2"/>
      <c r="C145" s="2"/>
      <c r="D145" s="2"/>
    </row>
    <row r="146" spans="2:4" x14ac:dyDescent="0.2">
      <c r="B146" s="2"/>
      <c r="C146" s="2"/>
      <c r="D146" s="2"/>
    </row>
    <row r="147" spans="2:4" x14ac:dyDescent="0.2">
      <c r="B147" s="2"/>
      <c r="C147" s="2"/>
      <c r="D147" s="2"/>
    </row>
    <row r="148" spans="2:4" x14ac:dyDescent="0.2">
      <c r="B148" s="2"/>
      <c r="C148" s="2"/>
      <c r="D148" s="2"/>
    </row>
    <row r="149" spans="2:4" x14ac:dyDescent="0.2">
      <c r="B149" s="2"/>
      <c r="C149" s="2"/>
      <c r="D149" s="2"/>
    </row>
    <row r="150" spans="2:4" x14ac:dyDescent="0.2">
      <c r="B150" s="2"/>
      <c r="C150" s="2"/>
      <c r="D150" s="2"/>
    </row>
    <row r="151" spans="2:4" x14ac:dyDescent="0.2">
      <c r="B151" s="2"/>
      <c r="C151" s="2"/>
      <c r="D151" s="2"/>
    </row>
    <row r="152" spans="2:4" x14ac:dyDescent="0.2">
      <c r="B152" s="2"/>
      <c r="C152" s="2"/>
      <c r="D152" s="2"/>
    </row>
    <row r="153" spans="2:4" x14ac:dyDescent="0.2">
      <c r="B153" s="2"/>
      <c r="C153" s="2"/>
      <c r="D153" s="2"/>
    </row>
    <row r="154" spans="2:4" x14ac:dyDescent="0.2">
      <c r="B154" s="2"/>
      <c r="C154" s="2"/>
      <c r="D154" s="2"/>
    </row>
    <row r="155" spans="2:4" x14ac:dyDescent="0.2">
      <c r="B155" s="2"/>
      <c r="C155" s="2"/>
      <c r="D155" s="2"/>
    </row>
    <row r="156" spans="2:4" x14ac:dyDescent="0.2">
      <c r="B156" s="2"/>
      <c r="C156" s="2"/>
      <c r="D156" s="2"/>
    </row>
    <row r="157" spans="2:4" x14ac:dyDescent="0.2">
      <c r="B157" s="2"/>
      <c r="C157" s="2"/>
      <c r="D157" s="2"/>
    </row>
    <row r="158" spans="2:4" x14ac:dyDescent="0.2">
      <c r="B158" s="2"/>
      <c r="C158" s="2"/>
      <c r="D158" s="2"/>
    </row>
    <row r="159" spans="2:4" x14ac:dyDescent="0.2">
      <c r="B159" s="2"/>
      <c r="C159" s="2"/>
      <c r="D159" s="2"/>
    </row>
    <row r="160" spans="2:4" x14ac:dyDescent="0.2">
      <c r="B160" s="2"/>
      <c r="C160" s="2"/>
      <c r="D160" s="2"/>
    </row>
    <row r="161" spans="2:4" x14ac:dyDescent="0.2">
      <c r="B161" s="2"/>
      <c r="C161" s="2"/>
      <c r="D161" s="2"/>
    </row>
    <row r="162" spans="2:4" x14ac:dyDescent="0.2">
      <c r="B162" s="2"/>
      <c r="C162" s="2"/>
      <c r="D162" s="2"/>
    </row>
  </sheetData>
  <mergeCells count="12">
    <mergeCell ref="AM3:AO3"/>
    <mergeCell ref="F3:H3"/>
    <mergeCell ref="I3:K3"/>
    <mergeCell ref="L3:N3"/>
    <mergeCell ref="O3:Q3"/>
    <mergeCell ref="AJ3:AL3"/>
    <mergeCell ref="R3:T3"/>
    <mergeCell ref="U3:W3"/>
    <mergeCell ref="X3:Z3"/>
    <mergeCell ref="AA3:AC3"/>
    <mergeCell ref="AD3:AF3"/>
    <mergeCell ref="AG3:AI3"/>
  </mergeCells>
  <printOptions horizontalCentered="1"/>
  <pageMargins left="0.19685039370078741" right="3.937007874015748E-2" top="0.19685039370078741" bottom="0.19685039370078741" header="0" footer="0"/>
  <pageSetup paperSize="9" firstPageNumber="2" fitToWidth="3" orientation="portrait" verticalDpi="1200" r:id="rId1"/>
  <headerFooter alignWithMargins="0"/>
  <colBreaks count="2" manualBreakCount="2">
    <brk id="14" max="100" man="1"/>
    <brk id="29" max="100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A161"/>
  <sheetViews>
    <sheetView zoomScale="80" zoomScaleNormal="80" workbookViewId="0">
      <pane xSplit="2" ySplit="4" topLeftCell="G31" activePane="bottomRight" state="frozen"/>
      <selection pane="topRight" activeCell="C1" sqref="C1"/>
      <selection pane="bottomLeft" activeCell="A5" sqref="A5"/>
      <selection pane="bottomRight" activeCell="A13" sqref="A13"/>
    </sheetView>
  </sheetViews>
  <sheetFormatPr baseColWidth="10" defaultColWidth="12.42578125" defaultRowHeight="15" x14ac:dyDescent="0.2"/>
  <cols>
    <col min="1" max="1" width="44.7109375" style="3" customWidth="1"/>
    <col min="2" max="2" width="9" style="3" hidden="1" customWidth="1"/>
    <col min="3" max="3" width="16.28515625" style="3" customWidth="1"/>
    <col min="4" max="4" width="16.28515625" style="3" hidden="1" customWidth="1"/>
    <col min="5" max="5" width="12.42578125" style="3" customWidth="1"/>
    <col min="6" max="6" width="13.5703125" style="3" customWidth="1"/>
    <col min="7" max="7" width="12.42578125" style="3" customWidth="1"/>
    <col min="8" max="8" width="13.140625" style="3" customWidth="1"/>
    <col min="9" max="235" width="12.42578125" style="3" customWidth="1"/>
    <col min="236" max="16384" width="12.42578125" style="58"/>
  </cols>
  <sheetData>
    <row r="1" spans="1:38" ht="30" x14ac:dyDescent="0.4">
      <c r="A1" s="1" t="s">
        <v>39</v>
      </c>
      <c r="B1" s="2"/>
      <c r="C1" s="2"/>
      <c r="D1" s="2"/>
    </row>
    <row r="2" spans="1:38" ht="6.95" customHeight="1" x14ac:dyDescent="0.2">
      <c r="B2" s="2"/>
      <c r="C2" s="2"/>
      <c r="D2" s="2"/>
    </row>
    <row r="3" spans="1:38" x14ac:dyDescent="0.2">
      <c r="A3" s="4" t="s">
        <v>0</v>
      </c>
      <c r="B3" s="5"/>
      <c r="C3" s="5"/>
      <c r="D3" s="5"/>
      <c r="F3" s="162" t="s">
        <v>41</v>
      </c>
      <c r="G3" s="162"/>
      <c r="H3" s="162"/>
      <c r="I3" s="163" t="s">
        <v>43</v>
      </c>
      <c r="J3" s="163"/>
      <c r="K3" s="163"/>
      <c r="L3" s="162" t="s">
        <v>44</v>
      </c>
      <c r="M3" s="162"/>
      <c r="N3" s="162"/>
      <c r="O3" s="163" t="s">
        <v>45</v>
      </c>
      <c r="P3" s="163"/>
      <c r="Q3" s="163"/>
      <c r="R3" s="162" t="s">
        <v>46</v>
      </c>
      <c r="S3" s="162"/>
      <c r="T3" s="162"/>
      <c r="U3" s="163" t="s">
        <v>47</v>
      </c>
      <c r="V3" s="163"/>
      <c r="W3" s="163"/>
      <c r="X3" s="162" t="s">
        <v>48</v>
      </c>
      <c r="Y3" s="162"/>
      <c r="Z3" s="162"/>
      <c r="AA3" s="163" t="s">
        <v>49</v>
      </c>
      <c r="AB3" s="163"/>
      <c r="AC3" s="163"/>
      <c r="AD3" s="162" t="s">
        <v>50</v>
      </c>
      <c r="AE3" s="162"/>
      <c r="AF3" s="162"/>
      <c r="AG3" s="163" t="s">
        <v>52</v>
      </c>
      <c r="AH3" s="163"/>
      <c r="AI3" s="163"/>
      <c r="AJ3" s="162" t="s">
        <v>51</v>
      </c>
      <c r="AK3" s="162"/>
      <c r="AL3" s="162"/>
    </row>
    <row r="4" spans="1:38" x14ac:dyDescent="0.2">
      <c r="A4" s="6" t="s">
        <v>1</v>
      </c>
      <c r="B4" s="5"/>
      <c r="C4" s="7">
        <v>2009</v>
      </c>
      <c r="D4" s="8" t="s">
        <v>2</v>
      </c>
      <c r="F4" s="62" t="s">
        <v>42</v>
      </c>
      <c r="G4" s="63" t="s">
        <v>38</v>
      </c>
      <c r="H4" s="63" t="s">
        <v>40</v>
      </c>
      <c r="I4" s="61" t="s">
        <v>42</v>
      </c>
      <c r="J4" s="60" t="s">
        <v>38</v>
      </c>
      <c r="K4" s="60" t="s">
        <v>40</v>
      </c>
      <c r="L4" s="62" t="s">
        <v>42</v>
      </c>
      <c r="M4" s="63" t="s">
        <v>38</v>
      </c>
      <c r="N4" s="63" t="s">
        <v>40</v>
      </c>
      <c r="O4" s="61" t="s">
        <v>42</v>
      </c>
      <c r="P4" s="60" t="s">
        <v>38</v>
      </c>
      <c r="Q4" s="60" t="s">
        <v>40</v>
      </c>
      <c r="R4" s="62" t="s">
        <v>42</v>
      </c>
      <c r="S4" s="63" t="s">
        <v>38</v>
      </c>
      <c r="T4" s="63" t="s">
        <v>40</v>
      </c>
      <c r="U4" s="61" t="s">
        <v>42</v>
      </c>
      <c r="V4" s="60" t="s">
        <v>38</v>
      </c>
      <c r="W4" s="60" t="s">
        <v>40</v>
      </c>
      <c r="X4" s="62" t="s">
        <v>42</v>
      </c>
      <c r="Y4" s="63" t="s">
        <v>38</v>
      </c>
      <c r="Z4" s="63" t="s">
        <v>40</v>
      </c>
      <c r="AA4" s="61" t="s">
        <v>42</v>
      </c>
      <c r="AB4" s="60" t="s">
        <v>38</v>
      </c>
      <c r="AC4" s="60" t="s">
        <v>40</v>
      </c>
      <c r="AD4" s="62" t="s">
        <v>42</v>
      </c>
      <c r="AE4" s="63" t="s">
        <v>38</v>
      </c>
      <c r="AF4" s="63" t="s">
        <v>40</v>
      </c>
      <c r="AG4" s="61" t="s">
        <v>42</v>
      </c>
      <c r="AH4" s="60" t="s">
        <v>38</v>
      </c>
      <c r="AI4" s="60" t="s">
        <v>40</v>
      </c>
      <c r="AJ4" s="62" t="s">
        <v>42</v>
      </c>
      <c r="AK4" s="63" t="s">
        <v>38</v>
      </c>
      <c r="AL4" s="63" t="s">
        <v>40</v>
      </c>
    </row>
    <row r="5" spans="1:38" ht="17.100000000000001" customHeight="1" x14ac:dyDescent="0.25">
      <c r="A5" s="9" t="s">
        <v>3</v>
      </c>
      <c r="B5" s="10" t="s">
        <v>4</v>
      </c>
      <c r="C5" s="11"/>
      <c r="D5" s="11" t="s">
        <v>2</v>
      </c>
      <c r="F5" s="65"/>
      <c r="G5" s="65"/>
      <c r="H5" s="65"/>
      <c r="I5" s="66"/>
      <c r="J5" s="66"/>
      <c r="K5" s="66"/>
      <c r="L5" s="65"/>
      <c r="M5" s="65"/>
      <c r="N5" s="65"/>
      <c r="O5" s="66"/>
      <c r="P5" s="66"/>
      <c r="Q5" s="66"/>
      <c r="R5" s="65"/>
      <c r="S5" s="65"/>
      <c r="T5" s="65"/>
      <c r="U5" s="66"/>
      <c r="V5" s="66"/>
      <c r="W5" s="66"/>
      <c r="X5" s="65"/>
      <c r="Y5" s="65"/>
      <c r="Z5" s="65"/>
      <c r="AA5" s="66"/>
      <c r="AB5" s="66"/>
      <c r="AC5" s="66"/>
      <c r="AD5" s="65"/>
      <c r="AE5" s="65"/>
      <c r="AF5" s="65"/>
      <c r="AG5" s="66"/>
      <c r="AH5" s="66"/>
      <c r="AI5" s="66"/>
      <c r="AJ5" s="65"/>
      <c r="AK5" s="65"/>
      <c r="AL5" s="65"/>
    </row>
    <row r="6" spans="1:38" ht="9" customHeight="1" x14ac:dyDescent="0.2">
      <c r="A6" s="12"/>
      <c r="B6" s="13"/>
      <c r="C6" s="12"/>
      <c r="D6" s="12"/>
      <c r="F6" s="65"/>
      <c r="G6" s="65"/>
      <c r="H6" s="65"/>
      <c r="I6" s="66"/>
      <c r="J6" s="66"/>
      <c r="K6" s="66"/>
      <c r="L6" s="65"/>
      <c r="M6" s="65"/>
      <c r="N6" s="65"/>
      <c r="O6" s="66"/>
      <c r="P6" s="66"/>
      <c r="Q6" s="66"/>
      <c r="R6" s="65"/>
      <c r="S6" s="65"/>
      <c r="T6" s="65"/>
      <c r="U6" s="66"/>
      <c r="V6" s="66"/>
      <c r="W6" s="66"/>
      <c r="X6" s="65"/>
      <c r="Y6" s="65"/>
      <c r="Z6" s="65"/>
      <c r="AA6" s="66"/>
      <c r="AB6" s="66"/>
      <c r="AC6" s="66"/>
      <c r="AD6" s="65"/>
      <c r="AE6" s="65"/>
      <c r="AF6" s="65"/>
      <c r="AG6" s="66"/>
      <c r="AH6" s="66"/>
      <c r="AI6" s="66"/>
      <c r="AJ6" s="65"/>
      <c r="AK6" s="65"/>
      <c r="AL6" s="65"/>
    </row>
    <row r="7" spans="1:38" ht="17.25" customHeight="1" x14ac:dyDescent="0.2">
      <c r="A7" s="64" t="s">
        <v>82</v>
      </c>
      <c r="B7" s="13"/>
      <c r="C7" s="14">
        <f>H7+K7+N7+Q7+T7+W7+Z7+AC7+AF7+AI7+AL7</f>
        <v>255192.7</v>
      </c>
      <c r="D7" s="14">
        <v>60000</v>
      </c>
      <c r="F7" s="65"/>
      <c r="G7" s="65"/>
      <c r="H7" s="65">
        <f t="shared" ref="H7:H40" si="0">F7+G7</f>
        <v>0</v>
      </c>
      <c r="I7" s="66">
        <v>29587</v>
      </c>
      <c r="J7" s="66"/>
      <c r="K7" s="66">
        <f t="shared" ref="K7:K40" si="1">I7+J7</f>
        <v>29587</v>
      </c>
      <c r="L7" s="65">
        <v>94153.7</v>
      </c>
      <c r="M7" s="65"/>
      <c r="N7" s="65">
        <f t="shared" ref="N7:N40" si="2">L7+M7</f>
        <v>94153.7</v>
      </c>
      <c r="O7" s="66">
        <v>67496</v>
      </c>
      <c r="P7" s="66"/>
      <c r="Q7" s="66">
        <f t="shared" ref="Q7:Q40" si="3">O7+P7</f>
        <v>67496</v>
      </c>
      <c r="R7" s="65">
        <f>51141+11220</f>
        <v>62361</v>
      </c>
      <c r="S7" s="65"/>
      <c r="T7" s="65">
        <f t="shared" ref="T7:T40" si="4">R7+S7</f>
        <v>62361</v>
      </c>
      <c r="U7" s="66"/>
      <c r="V7" s="66"/>
      <c r="W7" s="66">
        <f t="shared" ref="W7:W40" si="5">U7+V7</f>
        <v>0</v>
      </c>
      <c r="X7" s="65"/>
      <c r="Y7" s="65"/>
      <c r="Z7" s="65">
        <f t="shared" ref="Z7:Z40" si="6">X7+Y7</f>
        <v>0</v>
      </c>
      <c r="AA7" s="66"/>
      <c r="AB7" s="66"/>
      <c r="AC7" s="66">
        <f t="shared" ref="AC7:AC40" si="7">AA7+AB7</f>
        <v>0</v>
      </c>
      <c r="AD7" s="65">
        <v>1595</v>
      </c>
      <c r="AE7" s="65"/>
      <c r="AF7" s="65">
        <f t="shared" ref="AF7:AF40" si="8">AD7+AE7</f>
        <v>1595</v>
      </c>
      <c r="AG7" s="66"/>
      <c r="AH7" s="66"/>
      <c r="AI7" s="66">
        <f t="shared" ref="AI7:AI40" si="9">AG7+AH7</f>
        <v>0</v>
      </c>
      <c r="AJ7" s="65"/>
      <c r="AK7" s="65"/>
      <c r="AL7" s="65">
        <f t="shared" ref="AL7:AL40" si="10">AJ7+AK7</f>
        <v>0</v>
      </c>
    </row>
    <row r="8" spans="1:38" ht="17.25" customHeight="1" x14ac:dyDescent="0.2">
      <c r="A8" s="64" t="s">
        <v>83</v>
      </c>
      <c r="B8" s="13"/>
      <c r="C8" s="14">
        <f t="shared" ref="C8:C20" si="11">H8+K8+N8+Q8+T8+W8+Z8+AC8+AF8+AI8+AL8</f>
        <v>83296</v>
      </c>
      <c r="D8" s="14"/>
      <c r="F8" s="65"/>
      <c r="G8" s="65"/>
      <c r="H8" s="65">
        <f t="shared" si="0"/>
        <v>0</v>
      </c>
      <c r="I8" s="66">
        <v>40070.5</v>
      </c>
      <c r="J8" s="66"/>
      <c r="K8" s="66">
        <f t="shared" si="1"/>
        <v>40070.5</v>
      </c>
      <c r="L8" s="65">
        <v>43225.5</v>
      </c>
      <c r="M8" s="65"/>
      <c r="N8" s="65">
        <f>L8+M8</f>
        <v>43225.5</v>
      </c>
      <c r="O8" s="66"/>
      <c r="P8" s="66"/>
      <c r="Q8" s="66">
        <f t="shared" si="3"/>
        <v>0</v>
      </c>
      <c r="R8" s="65"/>
      <c r="S8" s="65"/>
      <c r="T8" s="65">
        <f t="shared" si="4"/>
        <v>0</v>
      </c>
      <c r="U8" s="66"/>
      <c r="V8" s="66"/>
      <c r="W8" s="66">
        <f t="shared" si="5"/>
        <v>0</v>
      </c>
      <c r="X8" s="65"/>
      <c r="Y8" s="65"/>
      <c r="Z8" s="65">
        <f t="shared" si="6"/>
        <v>0</v>
      </c>
      <c r="AA8" s="66"/>
      <c r="AB8" s="66"/>
      <c r="AC8" s="66">
        <f t="shared" si="7"/>
        <v>0</v>
      </c>
      <c r="AD8" s="65"/>
      <c r="AE8" s="65"/>
      <c r="AF8" s="65"/>
      <c r="AG8" s="66"/>
      <c r="AH8" s="66"/>
      <c r="AI8" s="66"/>
      <c r="AJ8" s="65"/>
      <c r="AK8" s="65"/>
      <c r="AL8" s="65"/>
    </row>
    <row r="9" spans="1:38" ht="17.25" customHeight="1" x14ac:dyDescent="0.2">
      <c r="A9" s="64" t="s">
        <v>84</v>
      </c>
      <c r="B9" s="13"/>
      <c r="C9" s="14">
        <f t="shared" si="11"/>
        <v>396522</v>
      </c>
      <c r="D9" s="14"/>
      <c r="F9" s="65"/>
      <c r="G9" s="65"/>
      <c r="H9" s="65">
        <f t="shared" si="0"/>
        <v>0</v>
      </c>
      <c r="I9" s="66">
        <f>89540+217600</f>
        <v>307140</v>
      </c>
      <c r="J9" s="66"/>
      <c r="K9" s="66">
        <f t="shared" si="1"/>
        <v>307140</v>
      </c>
      <c r="L9" s="65"/>
      <c r="M9" s="65"/>
      <c r="N9" s="65">
        <f>L9+M9</f>
        <v>0</v>
      </c>
      <c r="O9" s="66">
        <f>34382+55000</f>
        <v>89382</v>
      </c>
      <c r="P9" s="66"/>
      <c r="Q9" s="66">
        <f t="shared" si="3"/>
        <v>89382</v>
      </c>
      <c r="R9" s="65"/>
      <c r="S9" s="65"/>
      <c r="T9" s="65">
        <f t="shared" si="4"/>
        <v>0</v>
      </c>
      <c r="U9" s="66"/>
      <c r="V9" s="66"/>
      <c r="W9" s="66">
        <f t="shared" si="5"/>
        <v>0</v>
      </c>
      <c r="X9" s="65"/>
      <c r="Y9" s="65"/>
      <c r="Z9" s="65">
        <f t="shared" si="6"/>
        <v>0</v>
      </c>
      <c r="AA9" s="66"/>
      <c r="AB9" s="66"/>
      <c r="AC9" s="66">
        <f t="shared" si="7"/>
        <v>0</v>
      </c>
      <c r="AD9" s="65"/>
      <c r="AE9" s="65"/>
      <c r="AF9" s="65"/>
      <c r="AG9" s="66"/>
      <c r="AH9" s="66"/>
      <c r="AI9" s="66"/>
      <c r="AJ9" s="65"/>
      <c r="AK9" s="65"/>
      <c r="AL9" s="65"/>
    </row>
    <row r="10" spans="1:38" ht="17.25" customHeight="1" x14ac:dyDescent="0.2">
      <c r="A10" s="64" t="s">
        <v>86</v>
      </c>
      <c r="B10" s="13"/>
      <c r="C10" s="14">
        <f t="shared" si="11"/>
        <v>1119577.5</v>
      </c>
      <c r="D10" s="14"/>
      <c r="F10" s="65"/>
      <c r="G10" s="65"/>
      <c r="H10" s="65">
        <f t="shared" si="0"/>
        <v>0</v>
      </c>
      <c r="I10" s="66">
        <f>55250+90172.5</f>
        <v>145422.5</v>
      </c>
      <c r="J10" s="66"/>
      <c r="K10" s="66">
        <f t="shared" si="1"/>
        <v>145422.5</v>
      </c>
      <c r="L10" s="82">
        <f>200400+608300+26550</f>
        <v>835250</v>
      </c>
      <c r="M10" s="65"/>
      <c r="N10" s="65">
        <f>L10+M10</f>
        <v>835250</v>
      </c>
      <c r="O10" s="66">
        <v>21805</v>
      </c>
      <c r="P10" s="66"/>
      <c r="Q10" s="66">
        <f t="shared" si="3"/>
        <v>21805</v>
      </c>
      <c r="R10" s="65">
        <f>23000+88500+5600</f>
        <v>117100</v>
      </c>
      <c r="S10" s="65"/>
      <c r="T10" s="65">
        <f t="shared" si="4"/>
        <v>117100</v>
      </c>
      <c r="U10" s="66"/>
      <c r="V10" s="66"/>
      <c r="W10" s="66">
        <f t="shared" si="5"/>
        <v>0</v>
      </c>
      <c r="X10" s="65"/>
      <c r="Y10" s="65"/>
      <c r="Z10" s="65">
        <f t="shared" si="6"/>
        <v>0</v>
      </c>
      <c r="AA10" s="66"/>
      <c r="AB10" s="66"/>
      <c r="AC10" s="66">
        <f t="shared" si="7"/>
        <v>0</v>
      </c>
      <c r="AD10" s="65"/>
      <c r="AE10" s="65"/>
      <c r="AF10" s="65"/>
      <c r="AG10" s="66"/>
      <c r="AH10" s="66"/>
      <c r="AI10" s="66"/>
      <c r="AJ10" s="65"/>
      <c r="AK10" s="65"/>
      <c r="AL10" s="65"/>
    </row>
    <row r="11" spans="1:38" ht="17.25" customHeight="1" x14ac:dyDescent="0.2">
      <c r="A11" s="64" t="s">
        <v>88</v>
      </c>
      <c r="B11" s="13"/>
      <c r="C11" s="14">
        <f t="shared" si="11"/>
        <v>105300</v>
      </c>
      <c r="D11" s="14"/>
      <c r="F11" s="65">
        <v>105300</v>
      </c>
      <c r="G11" s="65"/>
      <c r="H11" s="65">
        <f t="shared" si="0"/>
        <v>105300</v>
      </c>
      <c r="I11" s="66"/>
      <c r="J11" s="66"/>
      <c r="K11" s="66">
        <f t="shared" si="1"/>
        <v>0</v>
      </c>
      <c r="L11" s="65"/>
      <c r="M11" s="65"/>
      <c r="N11" s="65">
        <f t="shared" si="2"/>
        <v>0</v>
      </c>
      <c r="O11" s="66"/>
      <c r="P11" s="66"/>
      <c r="Q11" s="66">
        <f t="shared" si="3"/>
        <v>0</v>
      </c>
      <c r="R11" s="65"/>
      <c r="S11" s="65"/>
      <c r="T11" s="65">
        <f t="shared" si="4"/>
        <v>0</v>
      </c>
      <c r="U11" s="66"/>
      <c r="V11" s="66"/>
      <c r="W11" s="66">
        <f t="shared" si="5"/>
        <v>0</v>
      </c>
      <c r="X11" s="65"/>
      <c r="Y11" s="65"/>
      <c r="Z11" s="65">
        <f t="shared" si="6"/>
        <v>0</v>
      </c>
      <c r="AA11" s="66"/>
      <c r="AB11" s="66"/>
      <c r="AC11" s="66">
        <f t="shared" si="7"/>
        <v>0</v>
      </c>
      <c r="AD11" s="65"/>
      <c r="AE11" s="65"/>
      <c r="AF11" s="65">
        <f t="shared" si="8"/>
        <v>0</v>
      </c>
      <c r="AG11" s="66"/>
      <c r="AH11" s="66"/>
      <c r="AI11" s="66">
        <f t="shared" si="9"/>
        <v>0</v>
      </c>
      <c r="AJ11" s="65"/>
      <c r="AK11" s="65"/>
      <c r="AL11" s="65">
        <f t="shared" si="10"/>
        <v>0</v>
      </c>
    </row>
    <row r="12" spans="1:38" ht="17.25" customHeight="1" x14ac:dyDescent="0.2">
      <c r="A12" s="64" t="s">
        <v>58</v>
      </c>
      <c r="B12" s="13"/>
      <c r="C12" s="14">
        <f t="shared" si="11"/>
        <v>73989</v>
      </c>
      <c r="D12" s="14"/>
      <c r="F12" s="65">
        <v>73989</v>
      </c>
      <c r="G12" s="65"/>
      <c r="H12" s="65">
        <f t="shared" si="0"/>
        <v>73989</v>
      </c>
      <c r="I12" s="66"/>
      <c r="J12" s="66"/>
      <c r="K12" s="66">
        <f t="shared" si="1"/>
        <v>0</v>
      </c>
      <c r="L12" s="65"/>
      <c r="M12" s="65"/>
      <c r="N12" s="65">
        <f>L12+M12</f>
        <v>0</v>
      </c>
      <c r="O12" s="66"/>
      <c r="P12" s="66"/>
      <c r="Q12" s="66">
        <f t="shared" si="3"/>
        <v>0</v>
      </c>
      <c r="R12" s="65"/>
      <c r="S12" s="65"/>
      <c r="T12" s="65">
        <f t="shared" si="4"/>
        <v>0</v>
      </c>
      <c r="U12" s="66"/>
      <c r="V12" s="66"/>
      <c r="W12" s="66">
        <f t="shared" si="5"/>
        <v>0</v>
      </c>
      <c r="X12" s="65"/>
      <c r="Y12" s="65"/>
      <c r="Z12" s="65">
        <f t="shared" si="6"/>
        <v>0</v>
      </c>
      <c r="AA12" s="66"/>
      <c r="AB12" s="66"/>
      <c r="AC12" s="66">
        <f t="shared" si="7"/>
        <v>0</v>
      </c>
      <c r="AD12" s="65"/>
      <c r="AE12" s="65"/>
      <c r="AF12" s="65"/>
      <c r="AG12" s="66"/>
      <c r="AH12" s="66"/>
      <c r="AI12" s="66"/>
      <c r="AJ12" s="65"/>
      <c r="AK12" s="65"/>
      <c r="AL12" s="65"/>
    </row>
    <row r="13" spans="1:38" ht="17.25" customHeight="1" x14ac:dyDescent="0.2">
      <c r="A13" s="64" t="s">
        <v>59</v>
      </c>
      <c r="B13" s="13"/>
      <c r="C13" s="14">
        <f t="shared" si="11"/>
        <v>64000</v>
      </c>
      <c r="D13" s="14"/>
      <c r="F13" s="65">
        <v>100000</v>
      </c>
      <c r="G13" s="77">
        <v>-100000</v>
      </c>
      <c r="H13" s="65">
        <f t="shared" si="0"/>
        <v>0</v>
      </c>
      <c r="I13" s="66">
        <v>440000</v>
      </c>
      <c r="J13" s="76">
        <f>-363000-40000</f>
        <v>-403000</v>
      </c>
      <c r="K13" s="66">
        <f t="shared" si="1"/>
        <v>37000</v>
      </c>
      <c r="L13" s="65"/>
      <c r="M13" s="65"/>
      <c r="N13" s="65">
        <f t="shared" si="2"/>
        <v>0</v>
      </c>
      <c r="O13" s="69">
        <v>70000</v>
      </c>
      <c r="P13" s="78">
        <v>-70000</v>
      </c>
      <c r="Q13" s="66">
        <f t="shared" si="3"/>
        <v>0</v>
      </c>
      <c r="R13" s="65"/>
      <c r="S13" s="65"/>
      <c r="T13" s="65">
        <f t="shared" si="4"/>
        <v>0</v>
      </c>
      <c r="U13" s="66"/>
      <c r="V13" s="66"/>
      <c r="W13" s="66">
        <f t="shared" si="5"/>
        <v>0</v>
      </c>
      <c r="X13" s="65">
        <v>37000</v>
      </c>
      <c r="Y13" s="76">
        <v>-10000</v>
      </c>
      <c r="Z13" s="65">
        <f t="shared" si="6"/>
        <v>27000</v>
      </c>
      <c r="AA13" s="66">
        <v>8000</v>
      </c>
      <c r="AB13" s="76">
        <v>-8000</v>
      </c>
      <c r="AC13" s="66">
        <f t="shared" si="7"/>
        <v>0</v>
      </c>
      <c r="AD13" s="65">
        <v>10000</v>
      </c>
      <c r="AE13" s="76">
        <v>-10000</v>
      </c>
      <c r="AF13" s="65">
        <f t="shared" si="8"/>
        <v>0</v>
      </c>
      <c r="AG13" s="66"/>
      <c r="AH13" s="66"/>
      <c r="AI13" s="66">
        <f t="shared" si="9"/>
        <v>0</v>
      </c>
      <c r="AJ13" s="65"/>
      <c r="AK13" s="65"/>
      <c r="AL13" s="65">
        <f t="shared" si="10"/>
        <v>0</v>
      </c>
    </row>
    <row r="14" spans="1:38" ht="17.25" customHeight="1" x14ac:dyDescent="0.2">
      <c r="A14" s="64" t="s">
        <v>87</v>
      </c>
      <c r="B14" s="13"/>
      <c r="C14" s="14">
        <f t="shared" si="11"/>
        <v>41275</v>
      </c>
      <c r="D14" s="14">
        <v>80000</v>
      </c>
      <c r="F14" s="65">
        <v>41275</v>
      </c>
      <c r="G14" s="65"/>
      <c r="H14" s="65">
        <f t="shared" si="0"/>
        <v>41275</v>
      </c>
      <c r="I14" s="66"/>
      <c r="J14" s="66"/>
      <c r="K14" s="66">
        <f t="shared" si="1"/>
        <v>0</v>
      </c>
      <c r="L14" s="65"/>
      <c r="M14" s="65"/>
      <c r="N14" s="65">
        <f t="shared" si="2"/>
        <v>0</v>
      </c>
      <c r="O14" s="66"/>
      <c r="P14" s="66"/>
      <c r="Q14" s="66">
        <f t="shared" si="3"/>
        <v>0</v>
      </c>
      <c r="R14" s="65"/>
      <c r="S14" s="65"/>
      <c r="T14" s="65">
        <f t="shared" si="4"/>
        <v>0</v>
      </c>
      <c r="U14" s="66"/>
      <c r="V14" s="66"/>
      <c r="W14" s="66">
        <f t="shared" si="5"/>
        <v>0</v>
      </c>
      <c r="X14" s="65"/>
      <c r="Y14" s="65"/>
      <c r="Z14" s="65">
        <f t="shared" si="6"/>
        <v>0</v>
      </c>
      <c r="AA14" s="66"/>
      <c r="AB14" s="66"/>
      <c r="AC14" s="66">
        <f t="shared" si="7"/>
        <v>0</v>
      </c>
      <c r="AD14" s="65"/>
      <c r="AE14" s="65"/>
      <c r="AF14" s="65">
        <f t="shared" si="8"/>
        <v>0</v>
      </c>
      <c r="AG14" s="66"/>
      <c r="AH14" s="66"/>
      <c r="AI14" s="66">
        <f t="shared" si="9"/>
        <v>0</v>
      </c>
      <c r="AJ14" s="65"/>
      <c r="AK14" s="65"/>
      <c r="AL14" s="65">
        <f t="shared" si="10"/>
        <v>0</v>
      </c>
    </row>
    <row r="15" spans="1:38" ht="17.25" customHeight="1" x14ac:dyDescent="0.2">
      <c r="A15" s="64" t="s">
        <v>53</v>
      </c>
      <c r="B15" s="13"/>
      <c r="C15" s="14">
        <f t="shared" si="11"/>
        <v>307641</v>
      </c>
      <c r="D15" s="14">
        <v>45000</v>
      </c>
      <c r="F15" s="65"/>
      <c r="G15" s="65"/>
      <c r="H15" s="65">
        <f t="shared" si="0"/>
        <v>0</v>
      </c>
      <c r="I15" s="66">
        <v>184430</v>
      </c>
      <c r="J15" s="66"/>
      <c r="K15" s="66">
        <f t="shared" si="1"/>
        <v>184430</v>
      </c>
      <c r="L15" s="65"/>
      <c r="M15" s="65"/>
      <c r="N15" s="65">
        <f t="shared" si="2"/>
        <v>0</v>
      </c>
      <c r="O15" s="66">
        <f>92162-1</f>
        <v>92161</v>
      </c>
      <c r="P15" s="66"/>
      <c r="Q15" s="66">
        <f t="shared" si="3"/>
        <v>92161</v>
      </c>
      <c r="R15" s="65"/>
      <c r="S15" s="65"/>
      <c r="T15" s="65">
        <f t="shared" si="4"/>
        <v>0</v>
      </c>
      <c r="U15" s="66">
        <v>19950</v>
      </c>
      <c r="V15" s="66"/>
      <c r="W15" s="66">
        <f t="shared" si="5"/>
        <v>19950</v>
      </c>
      <c r="X15" s="65">
        <v>6600</v>
      </c>
      <c r="Y15" s="65"/>
      <c r="Z15" s="65">
        <f t="shared" si="6"/>
        <v>6600</v>
      </c>
      <c r="AA15" s="66">
        <f>1800+2700</f>
        <v>4500</v>
      </c>
      <c r="AB15" s="66"/>
      <c r="AC15" s="66">
        <f t="shared" si="7"/>
        <v>4500</v>
      </c>
      <c r="AD15" s="65"/>
      <c r="AE15" s="65"/>
      <c r="AF15" s="65">
        <f t="shared" si="8"/>
        <v>0</v>
      </c>
      <c r="AG15" s="66"/>
      <c r="AH15" s="66"/>
      <c r="AI15" s="66">
        <f t="shared" si="9"/>
        <v>0</v>
      </c>
      <c r="AJ15" s="65"/>
      <c r="AK15" s="65"/>
      <c r="AL15" s="65">
        <f t="shared" si="10"/>
        <v>0</v>
      </c>
    </row>
    <row r="16" spans="1:38" ht="17.25" customHeight="1" x14ac:dyDescent="0.2">
      <c r="A16" s="64" t="s">
        <v>54</v>
      </c>
      <c r="B16" s="13"/>
      <c r="C16" s="14">
        <f t="shared" si="11"/>
        <v>555135.6</v>
      </c>
      <c r="D16" s="14">
        <v>3000</v>
      </c>
      <c r="F16" s="65">
        <f>66000+40000</f>
        <v>106000</v>
      </c>
      <c r="G16" s="65"/>
      <c r="H16" s="65">
        <f t="shared" si="0"/>
        <v>106000</v>
      </c>
      <c r="I16" s="66">
        <f>237385.6+20000</f>
        <v>257385.60000000001</v>
      </c>
      <c r="J16" s="66"/>
      <c r="K16" s="66">
        <f t="shared" si="1"/>
        <v>257385.60000000001</v>
      </c>
      <c r="L16" s="65">
        <v>118550</v>
      </c>
      <c r="M16" s="65"/>
      <c r="N16" s="65">
        <f t="shared" si="2"/>
        <v>118550</v>
      </c>
      <c r="O16" s="66">
        <v>46000</v>
      </c>
      <c r="P16" s="66"/>
      <c r="Q16" s="66">
        <f t="shared" si="3"/>
        <v>46000</v>
      </c>
      <c r="R16" s="65">
        <f>17200+10000</f>
        <v>27200</v>
      </c>
      <c r="S16" s="65"/>
      <c r="T16" s="65">
        <f t="shared" si="4"/>
        <v>27200</v>
      </c>
      <c r="U16" s="66"/>
      <c r="V16" s="66"/>
      <c r="W16" s="66">
        <f t="shared" si="5"/>
        <v>0</v>
      </c>
      <c r="X16" s="65"/>
      <c r="Y16" s="65"/>
      <c r="Z16" s="65">
        <f t="shared" si="6"/>
        <v>0</v>
      </c>
      <c r="AA16" s="66"/>
      <c r="AB16" s="66"/>
      <c r="AC16" s="66">
        <f t="shared" si="7"/>
        <v>0</v>
      </c>
      <c r="AD16" s="65"/>
      <c r="AE16" s="65"/>
      <c r="AF16" s="65">
        <f t="shared" si="8"/>
        <v>0</v>
      </c>
      <c r="AG16" s="66"/>
      <c r="AH16" s="66"/>
      <c r="AI16" s="66">
        <f t="shared" si="9"/>
        <v>0</v>
      </c>
      <c r="AJ16" s="65"/>
      <c r="AK16" s="65"/>
      <c r="AL16" s="65">
        <f t="shared" si="10"/>
        <v>0</v>
      </c>
    </row>
    <row r="17" spans="1:38" ht="17.25" customHeight="1" x14ac:dyDescent="0.2">
      <c r="A17" s="64" t="s">
        <v>85</v>
      </c>
      <c r="B17" s="13"/>
      <c r="C17" s="14">
        <f t="shared" si="11"/>
        <v>171528</v>
      </c>
      <c r="D17" s="14">
        <v>32000</v>
      </c>
      <c r="F17" s="65"/>
      <c r="G17" s="65"/>
      <c r="H17" s="65">
        <f t="shared" si="0"/>
        <v>0</v>
      </c>
      <c r="I17" s="66">
        <f>26200+25725</f>
        <v>51925</v>
      </c>
      <c r="J17" s="66"/>
      <c r="K17" s="66">
        <f t="shared" si="1"/>
        <v>51925</v>
      </c>
      <c r="L17" s="65"/>
      <c r="M17" s="65"/>
      <c r="N17" s="65">
        <f t="shared" si="2"/>
        <v>0</v>
      </c>
      <c r="O17" s="66">
        <f>89000+30603</f>
        <v>119603</v>
      </c>
      <c r="P17" s="66"/>
      <c r="Q17" s="66">
        <f t="shared" si="3"/>
        <v>119603</v>
      </c>
      <c r="R17" s="65"/>
      <c r="S17" s="65"/>
      <c r="T17" s="65">
        <f t="shared" si="4"/>
        <v>0</v>
      </c>
      <c r="U17" s="66"/>
      <c r="V17" s="66"/>
      <c r="W17" s="66">
        <f t="shared" si="5"/>
        <v>0</v>
      </c>
      <c r="X17" s="65"/>
      <c r="Y17" s="65"/>
      <c r="Z17" s="65">
        <f t="shared" si="6"/>
        <v>0</v>
      </c>
      <c r="AA17" s="66"/>
      <c r="AB17" s="66"/>
      <c r="AC17" s="66">
        <f t="shared" si="7"/>
        <v>0</v>
      </c>
      <c r="AD17" s="65"/>
      <c r="AE17" s="65"/>
      <c r="AF17" s="65">
        <f t="shared" si="8"/>
        <v>0</v>
      </c>
      <c r="AG17" s="66"/>
      <c r="AH17" s="66"/>
      <c r="AI17" s="66">
        <f t="shared" si="9"/>
        <v>0</v>
      </c>
      <c r="AJ17" s="65"/>
      <c r="AK17" s="65"/>
      <c r="AL17" s="65">
        <f t="shared" si="10"/>
        <v>0</v>
      </c>
    </row>
    <row r="18" spans="1:38" ht="17.25" customHeight="1" x14ac:dyDescent="0.2">
      <c r="A18" s="64" t="s">
        <v>56</v>
      </c>
      <c r="B18" s="13"/>
      <c r="C18" s="14">
        <f t="shared" si="11"/>
        <v>162878.1</v>
      </c>
      <c r="D18" s="14">
        <v>70000</v>
      </c>
      <c r="F18" s="65">
        <v>162878.1</v>
      </c>
      <c r="G18" s="65"/>
      <c r="H18" s="65">
        <f t="shared" si="0"/>
        <v>162878.1</v>
      </c>
      <c r="I18" s="66"/>
      <c r="J18" s="66"/>
      <c r="K18" s="66">
        <f t="shared" si="1"/>
        <v>0</v>
      </c>
      <c r="L18" s="65"/>
      <c r="M18" s="65"/>
      <c r="N18" s="65">
        <f t="shared" si="2"/>
        <v>0</v>
      </c>
      <c r="O18" s="66"/>
      <c r="P18" s="66"/>
      <c r="Q18" s="66">
        <f t="shared" si="3"/>
        <v>0</v>
      </c>
      <c r="R18" s="65"/>
      <c r="S18" s="65"/>
      <c r="T18" s="65">
        <f t="shared" si="4"/>
        <v>0</v>
      </c>
      <c r="U18" s="66"/>
      <c r="V18" s="66"/>
      <c r="W18" s="66">
        <f t="shared" si="5"/>
        <v>0</v>
      </c>
      <c r="X18" s="65"/>
      <c r="Y18" s="65"/>
      <c r="Z18" s="65">
        <f t="shared" si="6"/>
        <v>0</v>
      </c>
      <c r="AA18" s="66"/>
      <c r="AB18" s="66"/>
      <c r="AC18" s="66">
        <f t="shared" si="7"/>
        <v>0</v>
      </c>
      <c r="AD18" s="65"/>
      <c r="AE18" s="65"/>
      <c r="AF18" s="65">
        <f t="shared" si="8"/>
        <v>0</v>
      </c>
      <c r="AG18" s="66"/>
      <c r="AH18" s="66"/>
      <c r="AI18" s="66">
        <f t="shared" si="9"/>
        <v>0</v>
      </c>
      <c r="AJ18" s="65"/>
      <c r="AK18" s="65"/>
      <c r="AL18" s="65">
        <f t="shared" si="10"/>
        <v>0</v>
      </c>
    </row>
    <row r="19" spans="1:38" ht="17.25" customHeight="1" x14ac:dyDescent="0.2">
      <c r="A19" s="64" t="s">
        <v>57</v>
      </c>
      <c r="B19" s="13"/>
      <c r="C19" s="14">
        <f t="shared" si="11"/>
        <v>40924.57</v>
      </c>
      <c r="D19" s="14">
        <v>70000</v>
      </c>
      <c r="F19" s="65">
        <v>40924.57</v>
      </c>
      <c r="G19" s="65"/>
      <c r="H19" s="65">
        <f t="shared" si="0"/>
        <v>40924.57</v>
      </c>
      <c r="I19" s="66"/>
      <c r="J19" s="66"/>
      <c r="K19" s="66">
        <f t="shared" si="1"/>
        <v>0</v>
      </c>
      <c r="L19" s="65"/>
      <c r="M19" s="65"/>
      <c r="N19" s="65">
        <f t="shared" si="2"/>
        <v>0</v>
      </c>
      <c r="O19" s="66"/>
      <c r="P19" s="66"/>
      <c r="Q19" s="66">
        <f t="shared" si="3"/>
        <v>0</v>
      </c>
      <c r="R19" s="65"/>
      <c r="S19" s="65"/>
      <c r="T19" s="65">
        <f t="shared" si="4"/>
        <v>0</v>
      </c>
      <c r="U19" s="66"/>
      <c r="V19" s="66"/>
      <c r="W19" s="66">
        <f t="shared" si="5"/>
        <v>0</v>
      </c>
      <c r="X19" s="65"/>
      <c r="Y19" s="65"/>
      <c r="Z19" s="65">
        <f t="shared" si="6"/>
        <v>0</v>
      </c>
      <c r="AA19" s="66"/>
      <c r="AB19" s="66"/>
      <c r="AC19" s="66">
        <f t="shared" si="7"/>
        <v>0</v>
      </c>
      <c r="AD19" s="65"/>
      <c r="AE19" s="65"/>
      <c r="AF19" s="65">
        <f t="shared" si="8"/>
        <v>0</v>
      </c>
      <c r="AG19" s="66"/>
      <c r="AH19" s="66"/>
      <c r="AI19" s="66">
        <f t="shared" si="9"/>
        <v>0</v>
      </c>
      <c r="AJ19" s="65"/>
      <c r="AK19" s="65"/>
      <c r="AL19" s="65">
        <f t="shared" si="10"/>
        <v>0</v>
      </c>
    </row>
    <row r="20" spans="1:38" ht="17.25" customHeight="1" x14ac:dyDescent="0.2">
      <c r="A20" s="64" t="s">
        <v>55</v>
      </c>
      <c r="B20" s="13"/>
      <c r="C20" s="14">
        <f t="shared" si="11"/>
        <v>144436.16</v>
      </c>
      <c r="D20" s="14">
        <v>20000</v>
      </c>
      <c r="F20" s="65"/>
      <c r="G20" s="65"/>
      <c r="H20" s="65">
        <f t="shared" si="0"/>
        <v>0</v>
      </c>
      <c r="I20" s="66">
        <f>75876+11172.5+30341</f>
        <v>117389.5</v>
      </c>
      <c r="J20" s="66"/>
      <c r="K20" s="66">
        <f t="shared" si="1"/>
        <v>117389.5</v>
      </c>
      <c r="L20" s="65">
        <v>2046.66</v>
      </c>
      <c r="M20" s="65"/>
      <c r="N20" s="65">
        <f t="shared" si="2"/>
        <v>2046.66</v>
      </c>
      <c r="O20" s="69">
        <f>25000+90000</f>
        <v>115000</v>
      </c>
      <c r="P20" s="76">
        <v>-90000</v>
      </c>
      <c r="Q20" s="66">
        <f t="shared" si="3"/>
        <v>25000</v>
      </c>
      <c r="R20" s="65"/>
      <c r="S20" s="65"/>
      <c r="T20" s="65">
        <f t="shared" si="4"/>
        <v>0</v>
      </c>
      <c r="U20" s="66"/>
      <c r="V20" s="66"/>
      <c r="W20" s="66">
        <f t="shared" si="5"/>
        <v>0</v>
      </c>
      <c r="X20" s="65"/>
      <c r="Y20" s="65"/>
      <c r="Z20" s="65">
        <f t="shared" si="6"/>
        <v>0</v>
      </c>
      <c r="AA20" s="66"/>
      <c r="AB20" s="66"/>
      <c r="AC20" s="66">
        <f t="shared" si="7"/>
        <v>0</v>
      </c>
      <c r="AD20" s="65"/>
      <c r="AE20" s="65"/>
      <c r="AF20" s="65">
        <f t="shared" si="8"/>
        <v>0</v>
      </c>
      <c r="AG20" s="66"/>
      <c r="AH20" s="66"/>
      <c r="AI20" s="66">
        <f t="shared" si="9"/>
        <v>0</v>
      </c>
      <c r="AJ20" s="65"/>
      <c r="AK20" s="65"/>
      <c r="AL20" s="65">
        <f t="shared" si="10"/>
        <v>0</v>
      </c>
    </row>
    <row r="21" spans="1:38" ht="17.25" x14ac:dyDescent="0.3">
      <c r="A21" s="4" t="s">
        <v>5</v>
      </c>
      <c r="B21" s="16"/>
      <c r="C21" s="17">
        <f>SUM(C7:C20)</f>
        <v>3521695.6300000004</v>
      </c>
      <c r="D21" s="17">
        <f>SUM(D7:D20)</f>
        <v>380000</v>
      </c>
      <c r="F21" s="67">
        <f t="shared" ref="F21:AL21" si="12">SUM(F7:F20)</f>
        <v>630366.66999999993</v>
      </c>
      <c r="G21" s="67">
        <f t="shared" si="12"/>
        <v>-100000</v>
      </c>
      <c r="H21" s="67">
        <f t="shared" si="12"/>
        <v>530366.66999999993</v>
      </c>
      <c r="I21" s="67">
        <f t="shared" si="12"/>
        <v>1573350.1</v>
      </c>
      <c r="J21" s="67">
        <f t="shared" si="12"/>
        <v>-403000</v>
      </c>
      <c r="K21" s="67">
        <f t="shared" si="12"/>
        <v>1170350.1000000001</v>
      </c>
      <c r="L21" s="67">
        <f t="shared" si="12"/>
        <v>1093225.8599999999</v>
      </c>
      <c r="M21" s="67">
        <f t="shared" si="12"/>
        <v>0</v>
      </c>
      <c r="N21" s="67">
        <f t="shared" si="12"/>
        <v>1093225.8599999999</v>
      </c>
      <c r="O21" s="67">
        <f t="shared" si="12"/>
        <v>621447</v>
      </c>
      <c r="P21" s="67">
        <f t="shared" si="12"/>
        <v>-160000</v>
      </c>
      <c r="Q21" s="67">
        <f t="shared" si="12"/>
        <v>461447</v>
      </c>
      <c r="R21" s="67">
        <f t="shared" si="12"/>
        <v>206661</v>
      </c>
      <c r="S21" s="67">
        <f t="shared" si="12"/>
        <v>0</v>
      </c>
      <c r="T21" s="67">
        <f t="shared" si="12"/>
        <v>206661</v>
      </c>
      <c r="U21" s="67">
        <f t="shared" si="12"/>
        <v>19950</v>
      </c>
      <c r="V21" s="67">
        <f t="shared" si="12"/>
        <v>0</v>
      </c>
      <c r="W21" s="67">
        <f t="shared" si="12"/>
        <v>19950</v>
      </c>
      <c r="X21" s="67">
        <f t="shared" si="12"/>
        <v>43600</v>
      </c>
      <c r="Y21" s="67">
        <f t="shared" si="12"/>
        <v>-10000</v>
      </c>
      <c r="Z21" s="67">
        <f t="shared" si="12"/>
        <v>33600</v>
      </c>
      <c r="AA21" s="67">
        <f t="shared" si="12"/>
        <v>12500</v>
      </c>
      <c r="AB21" s="67">
        <f t="shared" si="12"/>
        <v>-8000</v>
      </c>
      <c r="AC21" s="67">
        <f t="shared" si="12"/>
        <v>4500</v>
      </c>
      <c r="AD21" s="67">
        <f t="shared" si="12"/>
        <v>11595</v>
      </c>
      <c r="AE21" s="67">
        <f t="shared" si="12"/>
        <v>-10000</v>
      </c>
      <c r="AF21" s="67">
        <f t="shared" si="12"/>
        <v>1595</v>
      </c>
      <c r="AG21" s="67">
        <f t="shared" si="12"/>
        <v>0</v>
      </c>
      <c r="AH21" s="67">
        <f t="shared" si="12"/>
        <v>0</v>
      </c>
      <c r="AI21" s="67">
        <f t="shared" si="12"/>
        <v>0</v>
      </c>
      <c r="AJ21" s="67">
        <f t="shared" si="12"/>
        <v>0</v>
      </c>
      <c r="AK21" s="67">
        <f t="shared" si="12"/>
        <v>0</v>
      </c>
      <c r="AL21" s="67">
        <f t="shared" si="12"/>
        <v>0</v>
      </c>
    </row>
    <row r="22" spans="1:38" ht="21.95" customHeight="1" x14ac:dyDescent="0.3">
      <c r="A22" s="15"/>
      <c r="B22" s="16"/>
      <c r="C22" s="18"/>
      <c r="D22" s="18"/>
      <c r="F22" s="65"/>
      <c r="G22" s="65"/>
      <c r="H22" s="65"/>
      <c r="I22" s="66"/>
      <c r="J22" s="66"/>
      <c r="K22" s="66"/>
      <c r="L22" s="65"/>
      <c r="M22" s="65"/>
      <c r="N22" s="65"/>
      <c r="O22" s="66"/>
      <c r="P22" s="66"/>
      <c r="Q22" s="66"/>
      <c r="R22" s="65"/>
      <c r="S22" s="65"/>
      <c r="T22" s="65"/>
      <c r="U22" s="66"/>
      <c r="V22" s="66"/>
      <c r="W22" s="66"/>
      <c r="X22" s="65"/>
      <c r="Y22" s="65"/>
      <c r="Z22" s="65"/>
      <c r="AA22" s="66"/>
      <c r="AB22" s="66"/>
      <c r="AC22" s="66"/>
      <c r="AD22" s="65"/>
      <c r="AE22" s="65"/>
      <c r="AF22" s="65"/>
      <c r="AG22" s="66"/>
      <c r="AH22" s="66"/>
      <c r="AI22" s="66"/>
      <c r="AJ22" s="65"/>
      <c r="AK22" s="65"/>
      <c r="AL22" s="65"/>
    </row>
    <row r="23" spans="1:38" ht="17.25" x14ac:dyDescent="0.3">
      <c r="A23" s="4" t="s">
        <v>6</v>
      </c>
      <c r="B23" s="16"/>
      <c r="C23" s="19"/>
      <c r="D23" s="19"/>
      <c r="F23" s="65"/>
      <c r="G23" s="65"/>
      <c r="H23" s="65"/>
      <c r="I23" s="66"/>
      <c r="J23" s="66"/>
      <c r="K23" s="66"/>
      <c r="L23" s="65"/>
      <c r="M23" s="65"/>
      <c r="N23" s="65"/>
      <c r="O23" s="66"/>
      <c r="P23" s="66"/>
      <c r="Q23" s="66"/>
      <c r="R23" s="65"/>
      <c r="S23" s="65"/>
      <c r="T23" s="65"/>
      <c r="U23" s="66"/>
      <c r="V23" s="66"/>
      <c r="W23" s="66"/>
      <c r="X23" s="65"/>
      <c r="Y23" s="65"/>
      <c r="Z23" s="65"/>
      <c r="AA23" s="66"/>
      <c r="AB23" s="66"/>
      <c r="AC23" s="66"/>
      <c r="AD23" s="65"/>
      <c r="AE23" s="65"/>
      <c r="AF23" s="65"/>
      <c r="AG23" s="66"/>
      <c r="AH23" s="66"/>
      <c r="AI23" s="66"/>
      <c r="AJ23" s="65"/>
      <c r="AK23" s="65"/>
      <c r="AL23" s="65"/>
    </row>
    <row r="24" spans="1:38" ht="9.9499999999999993" customHeight="1" x14ac:dyDescent="0.3">
      <c r="A24" s="15"/>
      <c r="B24" s="16"/>
      <c r="C24" s="19"/>
      <c r="D24" s="19"/>
      <c r="F24" s="65"/>
      <c r="G24" s="65"/>
      <c r="H24" s="65"/>
      <c r="I24" s="66"/>
      <c r="J24" s="66"/>
      <c r="K24" s="66"/>
      <c r="L24" s="65"/>
      <c r="M24" s="65"/>
      <c r="N24" s="65"/>
      <c r="O24" s="66"/>
      <c r="P24" s="66"/>
      <c r="Q24" s="66"/>
      <c r="R24" s="65"/>
      <c r="S24" s="65"/>
      <c r="T24" s="65"/>
      <c r="U24" s="66"/>
      <c r="V24" s="66"/>
      <c r="W24" s="66"/>
      <c r="X24" s="65"/>
      <c r="Y24" s="65"/>
      <c r="Z24" s="65"/>
      <c r="AA24" s="66"/>
      <c r="AB24" s="66"/>
      <c r="AC24" s="66"/>
      <c r="AD24" s="65"/>
      <c r="AE24" s="65"/>
      <c r="AF24" s="65"/>
      <c r="AG24" s="66"/>
      <c r="AH24" s="66"/>
      <c r="AI24" s="66"/>
      <c r="AJ24" s="65"/>
      <c r="AK24" s="65"/>
      <c r="AL24" s="65"/>
    </row>
    <row r="25" spans="1:38" ht="16.5" customHeight="1" x14ac:dyDescent="0.3">
      <c r="A25" s="68" t="s">
        <v>89</v>
      </c>
      <c r="B25" s="16"/>
      <c r="C25" s="14">
        <f t="shared" ref="C25:C29" si="13">H25+K25+N25+Q25+T25+W25+Z25+AC25+AF25+AI25+AL25</f>
        <v>399590.04</v>
      </c>
      <c r="D25" s="19"/>
      <c r="F25" s="65"/>
      <c r="G25" s="65"/>
      <c r="H25" s="65">
        <f t="shared" si="0"/>
        <v>0</v>
      </c>
      <c r="I25" s="66"/>
      <c r="J25" s="66"/>
      <c r="K25" s="66">
        <f t="shared" si="1"/>
        <v>0</v>
      </c>
      <c r="L25" s="65">
        <v>309320.03999999998</v>
      </c>
      <c r="M25" s="65"/>
      <c r="N25" s="65">
        <f t="shared" si="2"/>
        <v>309320.03999999998</v>
      </c>
      <c r="O25" s="66">
        <v>29289</v>
      </c>
      <c r="P25" s="66"/>
      <c r="Q25" s="66">
        <f t="shared" si="3"/>
        <v>29289</v>
      </c>
      <c r="R25" s="65">
        <v>60981</v>
      </c>
      <c r="S25" s="65"/>
      <c r="T25" s="65">
        <f t="shared" si="4"/>
        <v>60981</v>
      </c>
      <c r="U25" s="66"/>
      <c r="V25" s="66"/>
      <c r="W25" s="66">
        <f t="shared" si="5"/>
        <v>0</v>
      </c>
      <c r="X25" s="65"/>
      <c r="Y25" s="65"/>
      <c r="Z25" s="65">
        <f t="shared" si="6"/>
        <v>0</v>
      </c>
      <c r="AA25" s="66"/>
      <c r="AB25" s="66"/>
      <c r="AC25" s="66">
        <f t="shared" si="7"/>
        <v>0</v>
      </c>
      <c r="AD25" s="65"/>
      <c r="AE25" s="65"/>
      <c r="AF25" s="65">
        <f t="shared" si="8"/>
        <v>0</v>
      </c>
      <c r="AG25" s="66"/>
      <c r="AH25" s="66"/>
      <c r="AI25" s="66">
        <f t="shared" si="9"/>
        <v>0</v>
      </c>
      <c r="AJ25" s="65"/>
      <c r="AK25" s="65"/>
      <c r="AL25" s="65">
        <f t="shared" si="10"/>
        <v>0</v>
      </c>
    </row>
    <row r="26" spans="1:38" ht="16.5" customHeight="1" x14ac:dyDescent="0.3">
      <c r="A26" s="68" t="s">
        <v>60</v>
      </c>
      <c r="B26" s="16"/>
      <c r="C26" s="14">
        <f t="shared" si="13"/>
        <v>788365.5</v>
      </c>
      <c r="D26" s="19">
        <v>35000</v>
      </c>
      <c r="F26" s="65">
        <v>89250</v>
      </c>
      <c r="G26" s="65"/>
      <c r="H26" s="65">
        <f t="shared" si="0"/>
        <v>89250</v>
      </c>
      <c r="I26" s="66">
        <v>612581.5</v>
      </c>
      <c r="J26" s="66"/>
      <c r="K26" s="66">
        <f t="shared" si="1"/>
        <v>612581.5</v>
      </c>
      <c r="L26" s="65">
        <v>70009</v>
      </c>
      <c r="M26" s="65"/>
      <c r="N26" s="65">
        <f t="shared" si="2"/>
        <v>70009</v>
      </c>
      <c r="O26" s="66">
        <v>4000</v>
      </c>
      <c r="P26" s="66"/>
      <c r="Q26" s="66">
        <f t="shared" si="3"/>
        <v>4000</v>
      </c>
      <c r="R26" s="65"/>
      <c r="S26" s="65"/>
      <c r="T26" s="65">
        <f t="shared" si="4"/>
        <v>0</v>
      </c>
      <c r="U26" s="66"/>
      <c r="V26" s="66"/>
      <c r="W26" s="66">
        <f t="shared" si="5"/>
        <v>0</v>
      </c>
      <c r="X26" s="65">
        <v>12525</v>
      </c>
      <c r="Y26" s="65"/>
      <c r="Z26" s="65">
        <f t="shared" si="6"/>
        <v>12525</v>
      </c>
      <c r="AA26" s="66"/>
      <c r="AB26" s="66"/>
      <c r="AC26" s="66">
        <f t="shared" si="7"/>
        <v>0</v>
      </c>
      <c r="AD26" s="65"/>
      <c r="AE26" s="65"/>
      <c r="AF26" s="65">
        <f t="shared" si="8"/>
        <v>0</v>
      </c>
      <c r="AG26" s="66"/>
      <c r="AH26" s="66"/>
      <c r="AI26" s="66">
        <f t="shared" si="9"/>
        <v>0</v>
      </c>
      <c r="AJ26" s="65"/>
      <c r="AK26" s="65"/>
      <c r="AL26" s="65">
        <f t="shared" si="10"/>
        <v>0</v>
      </c>
    </row>
    <row r="27" spans="1:38" ht="16.5" customHeight="1" x14ac:dyDescent="0.3">
      <c r="A27" s="68" t="s">
        <v>62</v>
      </c>
      <c r="B27" s="16"/>
      <c r="C27" s="14">
        <f t="shared" si="13"/>
        <v>146362.5</v>
      </c>
      <c r="D27" s="19">
        <v>0</v>
      </c>
      <c r="F27" s="65">
        <v>136962.5</v>
      </c>
      <c r="G27" s="65"/>
      <c r="H27" s="65">
        <f t="shared" si="0"/>
        <v>136962.5</v>
      </c>
      <c r="I27" s="66">
        <v>9400</v>
      </c>
      <c r="J27" s="66"/>
      <c r="K27" s="66">
        <f t="shared" si="1"/>
        <v>9400</v>
      </c>
      <c r="L27" s="65"/>
      <c r="M27" s="65"/>
      <c r="N27" s="65">
        <f t="shared" si="2"/>
        <v>0</v>
      </c>
      <c r="O27" s="66"/>
      <c r="P27" s="66"/>
      <c r="Q27" s="66">
        <f t="shared" si="3"/>
        <v>0</v>
      </c>
      <c r="R27" s="65"/>
      <c r="S27" s="65"/>
      <c r="T27" s="65">
        <f t="shared" si="4"/>
        <v>0</v>
      </c>
      <c r="U27" s="66"/>
      <c r="V27" s="66"/>
      <c r="W27" s="66">
        <f t="shared" si="5"/>
        <v>0</v>
      </c>
      <c r="X27" s="65"/>
      <c r="Y27" s="65"/>
      <c r="Z27" s="65">
        <f t="shared" si="6"/>
        <v>0</v>
      </c>
      <c r="AA27" s="66"/>
      <c r="AB27" s="66"/>
      <c r="AC27" s="66">
        <f t="shared" si="7"/>
        <v>0</v>
      </c>
      <c r="AD27" s="65"/>
      <c r="AE27" s="65"/>
      <c r="AF27" s="65">
        <f t="shared" si="8"/>
        <v>0</v>
      </c>
      <c r="AG27" s="66"/>
      <c r="AH27" s="66"/>
      <c r="AI27" s="66">
        <f t="shared" si="9"/>
        <v>0</v>
      </c>
      <c r="AJ27" s="65"/>
      <c r="AK27" s="65"/>
      <c r="AL27" s="65">
        <f t="shared" si="10"/>
        <v>0</v>
      </c>
    </row>
    <row r="28" spans="1:38" ht="16.5" customHeight="1" x14ac:dyDescent="0.3">
      <c r="A28" s="68" t="s">
        <v>61</v>
      </c>
      <c r="B28" s="16"/>
      <c r="C28" s="14">
        <f t="shared" si="13"/>
        <v>121197.17</v>
      </c>
      <c r="D28" s="19">
        <v>45000</v>
      </c>
      <c r="F28" s="65">
        <v>121197.17</v>
      </c>
      <c r="G28" s="65"/>
      <c r="H28" s="65">
        <f t="shared" si="0"/>
        <v>121197.17</v>
      </c>
      <c r="I28" s="66"/>
      <c r="J28" s="66"/>
      <c r="K28" s="66">
        <f t="shared" si="1"/>
        <v>0</v>
      </c>
      <c r="L28" s="65"/>
      <c r="M28" s="65"/>
      <c r="N28" s="65">
        <f t="shared" si="2"/>
        <v>0</v>
      </c>
      <c r="O28" s="66"/>
      <c r="P28" s="66"/>
      <c r="Q28" s="66">
        <f t="shared" si="3"/>
        <v>0</v>
      </c>
      <c r="R28" s="65"/>
      <c r="S28" s="65"/>
      <c r="T28" s="65">
        <f t="shared" si="4"/>
        <v>0</v>
      </c>
      <c r="U28" s="66"/>
      <c r="V28" s="66"/>
      <c r="W28" s="66">
        <f t="shared" si="5"/>
        <v>0</v>
      </c>
      <c r="X28" s="65"/>
      <c r="Y28" s="65"/>
      <c r="Z28" s="65">
        <f t="shared" si="6"/>
        <v>0</v>
      </c>
      <c r="AA28" s="66"/>
      <c r="AB28" s="66"/>
      <c r="AC28" s="66">
        <f t="shared" si="7"/>
        <v>0</v>
      </c>
      <c r="AD28" s="65"/>
      <c r="AE28" s="65"/>
      <c r="AF28" s="65">
        <f t="shared" si="8"/>
        <v>0</v>
      </c>
      <c r="AG28" s="66"/>
      <c r="AH28" s="66"/>
      <c r="AI28" s="66">
        <f t="shared" si="9"/>
        <v>0</v>
      </c>
      <c r="AJ28" s="65"/>
      <c r="AK28" s="65"/>
      <c r="AL28" s="65">
        <f t="shared" si="10"/>
        <v>0</v>
      </c>
    </row>
    <row r="29" spans="1:38" ht="17.25" x14ac:dyDescent="0.3">
      <c r="A29" s="68" t="s">
        <v>63</v>
      </c>
      <c r="B29" s="16"/>
      <c r="C29" s="14">
        <f t="shared" si="13"/>
        <v>1808103.16</v>
      </c>
      <c r="D29" s="19">
        <v>20000</v>
      </c>
      <c r="F29" s="65">
        <f>118246.39+158000+63396.13+100000</f>
        <v>439642.52</v>
      </c>
      <c r="G29" s="76">
        <f>-158000</f>
        <v>-158000</v>
      </c>
      <c r="H29" s="65">
        <f t="shared" si="0"/>
        <v>281642.52</v>
      </c>
      <c r="I29" s="66">
        <f>773527.69+100000</f>
        <v>873527.69</v>
      </c>
      <c r="J29" s="77">
        <v>-100000</v>
      </c>
      <c r="K29" s="66">
        <f t="shared" si="1"/>
        <v>773527.69</v>
      </c>
      <c r="L29" s="65">
        <v>114814.7</v>
      </c>
      <c r="M29" s="65"/>
      <c r="N29" s="65">
        <f t="shared" si="2"/>
        <v>114814.7</v>
      </c>
      <c r="O29" s="66">
        <f>564397-33289+1</f>
        <v>531109</v>
      </c>
      <c r="P29" s="66"/>
      <c r="Q29" s="66">
        <f t="shared" si="3"/>
        <v>531109</v>
      </c>
      <c r="R29" s="65">
        <f>14950+16605+32197+2500+1780+2201</f>
        <v>70233</v>
      </c>
      <c r="S29" s="65"/>
      <c r="T29" s="65">
        <f t="shared" si="4"/>
        <v>70233</v>
      </c>
      <c r="U29" s="66">
        <v>9324</v>
      </c>
      <c r="V29" s="66"/>
      <c r="W29" s="66">
        <f t="shared" si="5"/>
        <v>9324</v>
      </c>
      <c r="X29" s="65">
        <f>14525-12525</f>
        <v>2000</v>
      </c>
      <c r="Y29" s="65"/>
      <c r="Z29" s="65">
        <f t="shared" si="6"/>
        <v>2000</v>
      </c>
      <c r="AA29" s="66">
        <v>21797.25</v>
      </c>
      <c r="AB29" s="66"/>
      <c r="AC29" s="66">
        <f t="shared" si="7"/>
        <v>21797.25</v>
      </c>
      <c r="AD29" s="65">
        <v>3655</v>
      </c>
      <c r="AE29" s="65"/>
      <c r="AF29" s="65">
        <f t="shared" si="8"/>
        <v>3655</v>
      </c>
      <c r="AG29" s="66"/>
      <c r="AH29" s="66"/>
      <c r="AI29" s="66">
        <f t="shared" si="9"/>
        <v>0</v>
      </c>
      <c r="AJ29" s="65"/>
      <c r="AK29" s="65"/>
      <c r="AL29" s="65">
        <f t="shared" si="10"/>
        <v>0</v>
      </c>
    </row>
    <row r="30" spans="1:38" ht="17.25" x14ac:dyDescent="0.3">
      <c r="A30" s="4" t="s">
        <v>7</v>
      </c>
      <c r="B30" s="16"/>
      <c r="C30" s="17">
        <f>SUM(C25:C29)</f>
        <v>3263618.37</v>
      </c>
      <c r="D30" s="17">
        <f>SUM(D26:D29)</f>
        <v>100000</v>
      </c>
      <c r="F30" s="17">
        <f t="shared" ref="F30:AL30" si="14">SUM(F25:F29)</f>
        <v>787052.19</v>
      </c>
      <c r="G30" s="17">
        <f t="shared" si="14"/>
        <v>-158000</v>
      </c>
      <c r="H30" s="17">
        <f t="shared" si="14"/>
        <v>629052.18999999994</v>
      </c>
      <c r="I30" s="17">
        <f t="shared" si="14"/>
        <v>1495509.19</v>
      </c>
      <c r="J30" s="17">
        <f t="shared" si="14"/>
        <v>-100000</v>
      </c>
      <c r="K30" s="17">
        <f t="shared" si="14"/>
        <v>1395509.19</v>
      </c>
      <c r="L30" s="17">
        <f t="shared" si="14"/>
        <v>494143.74</v>
      </c>
      <c r="M30" s="17">
        <f t="shared" si="14"/>
        <v>0</v>
      </c>
      <c r="N30" s="17">
        <f t="shared" si="14"/>
        <v>494143.74</v>
      </c>
      <c r="O30" s="17">
        <f t="shared" si="14"/>
        <v>564398</v>
      </c>
      <c r="P30" s="17">
        <f t="shared" si="14"/>
        <v>0</v>
      </c>
      <c r="Q30" s="17">
        <f t="shared" si="14"/>
        <v>564398</v>
      </c>
      <c r="R30" s="17">
        <f t="shared" si="14"/>
        <v>131214</v>
      </c>
      <c r="S30" s="17">
        <f t="shared" si="14"/>
        <v>0</v>
      </c>
      <c r="T30" s="17">
        <f t="shared" si="14"/>
        <v>131214</v>
      </c>
      <c r="U30" s="17">
        <f t="shared" si="14"/>
        <v>9324</v>
      </c>
      <c r="V30" s="17">
        <f t="shared" si="14"/>
        <v>0</v>
      </c>
      <c r="W30" s="17">
        <f t="shared" si="14"/>
        <v>9324</v>
      </c>
      <c r="X30" s="17">
        <f t="shared" si="14"/>
        <v>14525</v>
      </c>
      <c r="Y30" s="17">
        <f t="shared" si="14"/>
        <v>0</v>
      </c>
      <c r="Z30" s="17">
        <f t="shared" si="14"/>
        <v>14525</v>
      </c>
      <c r="AA30" s="17">
        <f t="shared" si="14"/>
        <v>21797.25</v>
      </c>
      <c r="AB30" s="17">
        <f t="shared" si="14"/>
        <v>0</v>
      </c>
      <c r="AC30" s="17">
        <f t="shared" si="14"/>
        <v>21797.25</v>
      </c>
      <c r="AD30" s="17">
        <f t="shared" si="14"/>
        <v>3655</v>
      </c>
      <c r="AE30" s="17">
        <f t="shared" si="14"/>
        <v>0</v>
      </c>
      <c r="AF30" s="17">
        <f t="shared" si="14"/>
        <v>3655</v>
      </c>
      <c r="AG30" s="17">
        <f t="shared" si="14"/>
        <v>0</v>
      </c>
      <c r="AH30" s="17">
        <f t="shared" si="14"/>
        <v>0</v>
      </c>
      <c r="AI30" s="17">
        <f t="shared" si="14"/>
        <v>0</v>
      </c>
      <c r="AJ30" s="17">
        <f t="shared" si="14"/>
        <v>0</v>
      </c>
      <c r="AK30" s="17">
        <f t="shared" si="14"/>
        <v>0</v>
      </c>
      <c r="AL30" s="17">
        <f t="shared" si="14"/>
        <v>0</v>
      </c>
    </row>
    <row r="31" spans="1:38" ht="17.25" x14ac:dyDescent="0.3">
      <c r="A31" s="15"/>
      <c r="B31" s="16"/>
      <c r="C31" s="20"/>
      <c r="D31" s="20"/>
      <c r="F31" s="65"/>
      <c r="G31" s="65"/>
      <c r="H31" s="65">
        <f t="shared" si="0"/>
        <v>0</v>
      </c>
      <c r="I31" s="66"/>
      <c r="J31" s="66"/>
      <c r="K31" s="66">
        <f t="shared" si="1"/>
        <v>0</v>
      </c>
      <c r="L31" s="65"/>
      <c r="M31" s="65"/>
      <c r="N31" s="65">
        <f t="shared" si="2"/>
        <v>0</v>
      </c>
      <c r="O31" s="66"/>
      <c r="P31" s="66"/>
      <c r="Q31" s="66">
        <f t="shared" si="3"/>
        <v>0</v>
      </c>
      <c r="R31" s="65"/>
      <c r="S31" s="65"/>
      <c r="T31" s="65">
        <f t="shared" si="4"/>
        <v>0</v>
      </c>
      <c r="U31" s="66"/>
      <c r="V31" s="66"/>
      <c r="W31" s="66">
        <f t="shared" si="5"/>
        <v>0</v>
      </c>
      <c r="X31" s="65"/>
      <c r="Y31" s="65"/>
      <c r="Z31" s="65">
        <f t="shared" si="6"/>
        <v>0</v>
      </c>
      <c r="AA31" s="66"/>
      <c r="AB31" s="66"/>
      <c r="AC31" s="66">
        <f t="shared" si="7"/>
        <v>0</v>
      </c>
      <c r="AD31" s="65"/>
      <c r="AE31" s="65"/>
      <c r="AF31" s="65">
        <f t="shared" si="8"/>
        <v>0</v>
      </c>
      <c r="AG31" s="66"/>
      <c r="AH31" s="66"/>
      <c r="AI31" s="66">
        <f t="shared" si="9"/>
        <v>0</v>
      </c>
      <c r="AJ31" s="65"/>
      <c r="AK31" s="65"/>
      <c r="AL31" s="65">
        <f t="shared" si="10"/>
        <v>0</v>
      </c>
    </row>
    <row r="32" spans="1:38" ht="17.25" x14ac:dyDescent="0.3">
      <c r="A32" s="4" t="s">
        <v>8</v>
      </c>
      <c r="B32" s="16"/>
      <c r="C32" s="21">
        <f>C21-C30</f>
        <v>258077.26000000024</v>
      </c>
      <c r="D32" s="21">
        <f>D21-D30</f>
        <v>280000</v>
      </c>
      <c r="F32" s="21">
        <f t="shared" ref="F32:AL32" si="15">F21-F30</f>
        <v>-156685.52000000002</v>
      </c>
      <c r="G32" s="21">
        <f t="shared" si="15"/>
        <v>58000</v>
      </c>
      <c r="H32" s="21">
        <f t="shared" si="15"/>
        <v>-98685.520000000019</v>
      </c>
      <c r="I32" s="21">
        <f t="shared" si="15"/>
        <v>77840.910000000149</v>
      </c>
      <c r="J32" s="21">
        <f t="shared" si="15"/>
        <v>-303000</v>
      </c>
      <c r="K32" s="21">
        <f t="shared" si="15"/>
        <v>-225159.08999999985</v>
      </c>
      <c r="L32" s="21">
        <f t="shared" si="15"/>
        <v>599082.11999999988</v>
      </c>
      <c r="M32" s="21">
        <f t="shared" si="15"/>
        <v>0</v>
      </c>
      <c r="N32" s="21">
        <f t="shared" si="15"/>
        <v>599082.11999999988</v>
      </c>
      <c r="O32" s="21">
        <f t="shared" si="15"/>
        <v>57049</v>
      </c>
      <c r="P32" s="21">
        <f t="shared" si="15"/>
        <v>-160000</v>
      </c>
      <c r="Q32" s="21">
        <f t="shared" si="15"/>
        <v>-102951</v>
      </c>
      <c r="R32" s="21">
        <f t="shared" si="15"/>
        <v>75447</v>
      </c>
      <c r="S32" s="21">
        <f t="shared" si="15"/>
        <v>0</v>
      </c>
      <c r="T32" s="21">
        <f t="shared" si="15"/>
        <v>75447</v>
      </c>
      <c r="U32" s="21">
        <f t="shared" si="15"/>
        <v>10626</v>
      </c>
      <c r="V32" s="21">
        <f t="shared" si="15"/>
        <v>0</v>
      </c>
      <c r="W32" s="21">
        <f t="shared" si="15"/>
        <v>10626</v>
      </c>
      <c r="X32" s="21">
        <f t="shared" si="15"/>
        <v>29075</v>
      </c>
      <c r="Y32" s="21">
        <f t="shared" si="15"/>
        <v>-10000</v>
      </c>
      <c r="Z32" s="21">
        <f t="shared" si="15"/>
        <v>19075</v>
      </c>
      <c r="AA32" s="21">
        <f t="shared" si="15"/>
        <v>-9297.25</v>
      </c>
      <c r="AB32" s="21">
        <f t="shared" si="15"/>
        <v>-8000</v>
      </c>
      <c r="AC32" s="21">
        <f t="shared" si="15"/>
        <v>-17297.25</v>
      </c>
      <c r="AD32" s="21">
        <f t="shared" si="15"/>
        <v>7940</v>
      </c>
      <c r="AE32" s="21">
        <f t="shared" si="15"/>
        <v>-10000</v>
      </c>
      <c r="AF32" s="21">
        <f t="shared" si="15"/>
        <v>-2060</v>
      </c>
      <c r="AG32" s="21">
        <f t="shared" si="15"/>
        <v>0</v>
      </c>
      <c r="AH32" s="21">
        <f t="shared" si="15"/>
        <v>0</v>
      </c>
      <c r="AI32" s="21">
        <f t="shared" si="15"/>
        <v>0</v>
      </c>
      <c r="AJ32" s="21">
        <f t="shared" si="15"/>
        <v>0</v>
      </c>
      <c r="AK32" s="21">
        <f t="shared" si="15"/>
        <v>0</v>
      </c>
      <c r="AL32" s="21">
        <f t="shared" si="15"/>
        <v>0</v>
      </c>
    </row>
    <row r="33" spans="1:38" ht="23.1" customHeight="1" x14ac:dyDescent="0.3">
      <c r="A33" s="22"/>
      <c r="B33" s="16"/>
      <c r="C33" s="18"/>
      <c r="D33" s="18"/>
      <c r="F33" s="65"/>
      <c r="G33" s="65"/>
      <c r="H33" s="65"/>
      <c r="I33" s="66"/>
      <c r="J33" s="66"/>
      <c r="K33" s="66"/>
      <c r="L33" s="65"/>
      <c r="M33" s="65"/>
      <c r="N33" s="65"/>
      <c r="O33" s="66"/>
      <c r="P33" s="66"/>
      <c r="Q33" s="66"/>
      <c r="R33" s="65"/>
      <c r="S33" s="65"/>
      <c r="T33" s="65"/>
      <c r="U33" s="66"/>
      <c r="V33" s="66"/>
      <c r="W33" s="66"/>
      <c r="X33" s="65"/>
      <c r="Y33" s="65"/>
      <c r="Z33" s="65"/>
      <c r="AA33" s="66"/>
      <c r="AB33" s="66"/>
      <c r="AC33" s="66"/>
      <c r="AD33" s="65"/>
      <c r="AE33" s="65"/>
      <c r="AF33" s="65"/>
      <c r="AG33" s="66"/>
      <c r="AH33" s="66"/>
      <c r="AI33" s="66"/>
      <c r="AJ33" s="65"/>
      <c r="AK33" s="65"/>
      <c r="AL33" s="65"/>
    </row>
    <row r="34" spans="1:38" ht="17.25" x14ac:dyDescent="0.3">
      <c r="A34" s="4" t="s">
        <v>9</v>
      </c>
      <c r="B34" s="16"/>
      <c r="C34" s="19"/>
      <c r="D34" s="19"/>
      <c r="F34" s="65"/>
      <c r="G34" s="65"/>
      <c r="H34" s="65"/>
      <c r="I34" s="66"/>
      <c r="J34" s="66"/>
      <c r="K34" s="66"/>
      <c r="L34" s="65"/>
      <c r="M34" s="65"/>
      <c r="N34" s="65"/>
      <c r="O34" s="66"/>
      <c r="P34" s="66"/>
      <c r="Q34" s="66"/>
      <c r="R34" s="65"/>
      <c r="S34" s="65"/>
      <c r="T34" s="65"/>
      <c r="U34" s="66"/>
      <c r="V34" s="66"/>
      <c r="W34" s="66"/>
      <c r="X34" s="65"/>
      <c r="Y34" s="65"/>
      <c r="Z34" s="65"/>
      <c r="AA34" s="66"/>
      <c r="AB34" s="66"/>
      <c r="AC34" s="66"/>
      <c r="AD34" s="65"/>
      <c r="AE34" s="65"/>
      <c r="AF34" s="65"/>
      <c r="AG34" s="66"/>
      <c r="AH34" s="66"/>
      <c r="AI34" s="66"/>
      <c r="AJ34" s="65"/>
      <c r="AK34" s="65"/>
      <c r="AL34" s="65"/>
    </row>
    <row r="35" spans="1:38" ht="9.9499999999999993" customHeight="1" x14ac:dyDescent="0.3">
      <c r="A35" s="4"/>
      <c r="B35" s="16"/>
      <c r="C35" s="19"/>
      <c r="D35" s="19"/>
      <c r="F35" s="65"/>
      <c r="G35" s="65"/>
      <c r="H35" s="65"/>
      <c r="I35" s="66"/>
      <c r="J35" s="66"/>
      <c r="K35" s="66"/>
      <c r="L35" s="65"/>
      <c r="M35" s="65"/>
      <c r="N35" s="65"/>
      <c r="O35" s="66"/>
      <c r="P35" s="66"/>
      <c r="Q35" s="66"/>
      <c r="R35" s="65"/>
      <c r="S35" s="65"/>
      <c r="T35" s="65"/>
      <c r="U35" s="66"/>
      <c r="V35" s="66"/>
      <c r="W35" s="66"/>
      <c r="X35" s="65"/>
      <c r="Y35" s="65"/>
      <c r="Z35" s="65"/>
      <c r="AA35" s="66"/>
      <c r="AB35" s="66"/>
      <c r="AC35" s="66"/>
      <c r="AD35" s="65"/>
      <c r="AE35" s="65"/>
      <c r="AF35" s="65"/>
      <c r="AG35" s="66"/>
      <c r="AH35" s="66"/>
      <c r="AI35" s="66"/>
      <c r="AJ35" s="65"/>
      <c r="AK35" s="65"/>
      <c r="AL35" s="65"/>
    </row>
    <row r="36" spans="1:38" ht="17.25" x14ac:dyDescent="0.3">
      <c r="A36" s="15" t="s">
        <v>10</v>
      </c>
      <c r="B36" s="16"/>
      <c r="C36" s="14">
        <f t="shared" ref="C36:C38" si="16">H36+K36+N36+Q36+T36+W36+Z36+AC36+AF36+AI36+AL36</f>
        <v>8225.43</v>
      </c>
      <c r="D36" s="19">
        <v>0</v>
      </c>
      <c r="F36" s="65">
        <v>240.92</v>
      </c>
      <c r="G36" s="65"/>
      <c r="H36" s="65">
        <f t="shared" si="0"/>
        <v>240.92</v>
      </c>
      <c r="I36" s="66">
        <v>476.43</v>
      </c>
      <c r="J36" s="66"/>
      <c r="K36" s="66">
        <f t="shared" si="1"/>
        <v>476.43</v>
      </c>
      <c r="L36" s="65">
        <v>6571.95</v>
      </c>
      <c r="M36" s="65"/>
      <c r="N36" s="65">
        <f t="shared" si="2"/>
        <v>6571.95</v>
      </c>
      <c r="O36" s="66">
        <v>209</v>
      </c>
      <c r="P36" s="66"/>
      <c r="Q36" s="66">
        <f t="shared" si="3"/>
        <v>209</v>
      </c>
      <c r="R36" s="65">
        <v>654</v>
      </c>
      <c r="S36" s="65"/>
      <c r="T36" s="65">
        <f t="shared" si="4"/>
        <v>654</v>
      </c>
      <c r="U36" s="66">
        <v>29.4</v>
      </c>
      <c r="V36" s="66"/>
      <c r="W36" s="66">
        <f t="shared" si="5"/>
        <v>29.4</v>
      </c>
      <c r="X36" s="65">
        <v>23.69</v>
      </c>
      <c r="Y36" s="65"/>
      <c r="Z36" s="65">
        <f t="shared" si="6"/>
        <v>23.69</v>
      </c>
      <c r="AA36" s="66">
        <v>13.67</v>
      </c>
      <c r="AB36" s="66"/>
      <c r="AC36" s="66">
        <f t="shared" si="7"/>
        <v>13.67</v>
      </c>
      <c r="AD36" s="65">
        <v>6.37</v>
      </c>
      <c r="AE36" s="65"/>
      <c r="AF36" s="65">
        <f t="shared" si="8"/>
        <v>6.37</v>
      </c>
      <c r="AG36" s="66"/>
      <c r="AH36" s="66"/>
      <c r="AI36" s="66">
        <f t="shared" si="9"/>
        <v>0</v>
      </c>
      <c r="AJ36" s="65"/>
      <c r="AK36" s="65"/>
      <c r="AL36" s="65">
        <f t="shared" si="10"/>
        <v>0</v>
      </c>
    </row>
    <row r="37" spans="1:38" ht="17.25" x14ac:dyDescent="0.3">
      <c r="A37" s="68" t="s">
        <v>64</v>
      </c>
      <c r="B37" s="16"/>
      <c r="C37" s="14">
        <f t="shared" si="16"/>
        <v>94687.51</v>
      </c>
      <c r="D37" s="19"/>
      <c r="F37" s="65">
        <v>94687.51</v>
      </c>
      <c r="G37" s="65"/>
      <c r="H37" s="65">
        <f t="shared" si="0"/>
        <v>94687.51</v>
      </c>
      <c r="I37" s="66"/>
      <c r="J37" s="66"/>
      <c r="K37" s="66">
        <f t="shared" si="1"/>
        <v>0</v>
      </c>
      <c r="L37" s="65"/>
      <c r="M37" s="65"/>
      <c r="N37" s="65">
        <f t="shared" si="2"/>
        <v>0</v>
      </c>
      <c r="O37" s="66"/>
      <c r="P37" s="66"/>
      <c r="Q37" s="66">
        <f t="shared" si="3"/>
        <v>0</v>
      </c>
      <c r="R37" s="65"/>
      <c r="S37" s="65"/>
      <c r="T37" s="65">
        <f t="shared" si="4"/>
        <v>0</v>
      </c>
      <c r="U37" s="66"/>
      <c r="V37" s="66"/>
      <c r="W37" s="66">
        <f t="shared" si="5"/>
        <v>0</v>
      </c>
      <c r="X37" s="65"/>
      <c r="Y37" s="65"/>
      <c r="Z37" s="65">
        <f t="shared" si="6"/>
        <v>0</v>
      </c>
      <c r="AA37" s="66"/>
      <c r="AB37" s="66"/>
      <c r="AC37" s="66">
        <f t="shared" si="7"/>
        <v>0</v>
      </c>
      <c r="AD37" s="65"/>
      <c r="AE37" s="65"/>
      <c r="AF37" s="65">
        <f t="shared" si="8"/>
        <v>0</v>
      </c>
      <c r="AG37" s="66"/>
      <c r="AH37" s="66"/>
      <c r="AI37" s="66">
        <f t="shared" si="9"/>
        <v>0</v>
      </c>
      <c r="AJ37" s="65"/>
      <c r="AK37" s="65"/>
      <c r="AL37" s="65">
        <f t="shared" si="10"/>
        <v>0</v>
      </c>
    </row>
    <row r="38" spans="1:38" ht="17.25" x14ac:dyDescent="0.3">
      <c r="A38" s="68" t="s">
        <v>65</v>
      </c>
      <c r="B38" s="16"/>
      <c r="C38" s="14">
        <f t="shared" si="16"/>
        <v>0</v>
      </c>
      <c r="D38" s="19"/>
      <c r="F38" s="65"/>
      <c r="G38" s="65"/>
      <c r="H38" s="65">
        <f t="shared" si="0"/>
        <v>0</v>
      </c>
      <c r="I38" s="66"/>
      <c r="J38" s="66"/>
      <c r="K38" s="66">
        <f t="shared" si="1"/>
        <v>0</v>
      </c>
      <c r="L38" s="65"/>
      <c r="M38" s="65"/>
      <c r="N38" s="65">
        <f t="shared" si="2"/>
        <v>0</v>
      </c>
      <c r="O38" s="66"/>
      <c r="P38" s="66"/>
      <c r="Q38" s="66">
        <f t="shared" si="3"/>
        <v>0</v>
      </c>
      <c r="R38" s="65"/>
      <c r="S38" s="65"/>
      <c r="T38" s="65">
        <f t="shared" si="4"/>
        <v>0</v>
      </c>
      <c r="U38" s="66"/>
      <c r="V38" s="66"/>
      <c r="W38" s="66">
        <f t="shared" si="5"/>
        <v>0</v>
      </c>
      <c r="X38" s="65"/>
      <c r="Y38" s="65"/>
      <c r="Z38" s="65">
        <f t="shared" si="6"/>
        <v>0</v>
      </c>
      <c r="AA38" s="66"/>
      <c r="AB38" s="66"/>
      <c r="AC38" s="66">
        <f t="shared" si="7"/>
        <v>0</v>
      </c>
      <c r="AD38" s="65"/>
      <c r="AE38" s="65"/>
      <c r="AF38" s="65">
        <f t="shared" si="8"/>
        <v>0</v>
      </c>
      <c r="AG38" s="66"/>
      <c r="AH38" s="66"/>
      <c r="AI38" s="66">
        <f t="shared" si="9"/>
        <v>0</v>
      </c>
      <c r="AJ38" s="65"/>
      <c r="AK38" s="65"/>
      <c r="AL38" s="65">
        <f t="shared" si="10"/>
        <v>0</v>
      </c>
    </row>
    <row r="39" spans="1:38" ht="21.95" customHeight="1" x14ac:dyDescent="0.3">
      <c r="A39" s="4" t="s">
        <v>11</v>
      </c>
      <c r="B39" s="16"/>
      <c r="C39" s="17">
        <f>C36-C37-C38</f>
        <v>-86462.079999999987</v>
      </c>
      <c r="D39" s="17">
        <f>SUM(D36:D36)</f>
        <v>0</v>
      </c>
      <c r="F39" s="17">
        <f>F36-F37-F38</f>
        <v>-94446.59</v>
      </c>
      <c r="G39" s="17">
        <f t="shared" ref="G39:AL39" si="17">G36-G37-G38</f>
        <v>0</v>
      </c>
      <c r="H39" s="17">
        <f t="shared" si="17"/>
        <v>-94446.59</v>
      </c>
      <c r="I39" s="17">
        <f t="shared" si="17"/>
        <v>476.43</v>
      </c>
      <c r="J39" s="17">
        <f t="shared" si="17"/>
        <v>0</v>
      </c>
      <c r="K39" s="17">
        <f t="shared" si="17"/>
        <v>476.43</v>
      </c>
      <c r="L39" s="17">
        <f t="shared" si="17"/>
        <v>6571.95</v>
      </c>
      <c r="M39" s="17">
        <f t="shared" si="17"/>
        <v>0</v>
      </c>
      <c r="N39" s="17">
        <f t="shared" si="17"/>
        <v>6571.95</v>
      </c>
      <c r="O39" s="17">
        <f t="shared" si="17"/>
        <v>209</v>
      </c>
      <c r="P39" s="17">
        <f t="shared" si="17"/>
        <v>0</v>
      </c>
      <c r="Q39" s="17">
        <f t="shared" si="17"/>
        <v>209</v>
      </c>
      <c r="R39" s="17">
        <f t="shared" si="17"/>
        <v>654</v>
      </c>
      <c r="S39" s="17">
        <f t="shared" si="17"/>
        <v>0</v>
      </c>
      <c r="T39" s="17">
        <f t="shared" si="17"/>
        <v>654</v>
      </c>
      <c r="U39" s="17">
        <f t="shared" si="17"/>
        <v>29.4</v>
      </c>
      <c r="V39" s="17">
        <f t="shared" si="17"/>
        <v>0</v>
      </c>
      <c r="W39" s="17">
        <f t="shared" si="17"/>
        <v>29.4</v>
      </c>
      <c r="X39" s="17">
        <f t="shared" si="17"/>
        <v>23.69</v>
      </c>
      <c r="Y39" s="17">
        <f t="shared" si="17"/>
        <v>0</v>
      </c>
      <c r="Z39" s="17">
        <f t="shared" si="17"/>
        <v>23.69</v>
      </c>
      <c r="AA39" s="17">
        <f t="shared" si="17"/>
        <v>13.67</v>
      </c>
      <c r="AB39" s="17">
        <f t="shared" si="17"/>
        <v>0</v>
      </c>
      <c r="AC39" s="17">
        <f t="shared" si="17"/>
        <v>13.67</v>
      </c>
      <c r="AD39" s="17">
        <f t="shared" si="17"/>
        <v>6.37</v>
      </c>
      <c r="AE39" s="17">
        <f t="shared" si="17"/>
        <v>0</v>
      </c>
      <c r="AF39" s="17">
        <f t="shared" si="17"/>
        <v>6.37</v>
      </c>
      <c r="AG39" s="17">
        <f t="shared" si="17"/>
        <v>0</v>
      </c>
      <c r="AH39" s="17">
        <f t="shared" si="17"/>
        <v>0</v>
      </c>
      <c r="AI39" s="17">
        <f t="shared" si="17"/>
        <v>0</v>
      </c>
      <c r="AJ39" s="17">
        <f t="shared" si="17"/>
        <v>0</v>
      </c>
      <c r="AK39" s="17">
        <f t="shared" si="17"/>
        <v>0</v>
      </c>
      <c r="AL39" s="17">
        <f t="shared" si="17"/>
        <v>0</v>
      </c>
    </row>
    <row r="40" spans="1:38" ht="17.25" x14ac:dyDescent="0.3">
      <c r="A40" s="15"/>
      <c r="B40" s="16"/>
      <c r="C40" s="18"/>
      <c r="D40" s="18"/>
      <c r="F40" s="65"/>
      <c r="G40" s="65"/>
      <c r="H40" s="65">
        <f t="shared" si="0"/>
        <v>0</v>
      </c>
      <c r="I40" s="66"/>
      <c r="J40" s="66"/>
      <c r="K40" s="66">
        <f t="shared" si="1"/>
        <v>0</v>
      </c>
      <c r="L40" s="65"/>
      <c r="M40" s="65"/>
      <c r="N40" s="65">
        <f t="shared" si="2"/>
        <v>0</v>
      </c>
      <c r="O40" s="66"/>
      <c r="P40" s="66"/>
      <c r="Q40" s="66">
        <f t="shared" si="3"/>
        <v>0</v>
      </c>
      <c r="R40" s="65"/>
      <c r="S40" s="65"/>
      <c r="T40" s="65">
        <f t="shared" si="4"/>
        <v>0</v>
      </c>
      <c r="U40" s="66"/>
      <c r="V40" s="66"/>
      <c r="W40" s="66">
        <f t="shared" si="5"/>
        <v>0</v>
      </c>
      <c r="X40" s="65"/>
      <c r="Y40" s="65"/>
      <c r="Z40" s="65">
        <f t="shared" si="6"/>
        <v>0</v>
      </c>
      <c r="AA40" s="66"/>
      <c r="AB40" s="66"/>
      <c r="AC40" s="66">
        <f t="shared" si="7"/>
        <v>0</v>
      </c>
      <c r="AD40" s="65"/>
      <c r="AE40" s="65"/>
      <c r="AF40" s="65">
        <f t="shared" si="8"/>
        <v>0</v>
      </c>
      <c r="AG40" s="66"/>
      <c r="AH40" s="66"/>
      <c r="AI40" s="66">
        <f t="shared" si="9"/>
        <v>0</v>
      </c>
      <c r="AJ40" s="65"/>
      <c r="AK40" s="65"/>
      <c r="AL40" s="65">
        <f t="shared" si="10"/>
        <v>0</v>
      </c>
    </row>
    <row r="41" spans="1:38" ht="18" thickBot="1" x14ac:dyDescent="0.35">
      <c r="A41" s="4" t="s">
        <v>12</v>
      </c>
      <c r="B41" s="16"/>
      <c r="C41" s="23">
        <f>C32+C39</f>
        <v>171615.18000000025</v>
      </c>
      <c r="D41" s="23">
        <f>D32+D39</f>
        <v>280000</v>
      </c>
      <c r="F41" s="23">
        <f>F32+F39</f>
        <v>-251132.11000000002</v>
      </c>
      <c r="G41" s="23">
        <f t="shared" ref="G41:AL41" si="18">G32+G39</f>
        <v>58000</v>
      </c>
      <c r="H41" s="23">
        <f t="shared" si="18"/>
        <v>-193132.11000000002</v>
      </c>
      <c r="I41" s="23">
        <f t="shared" si="18"/>
        <v>78317.340000000142</v>
      </c>
      <c r="J41" s="23">
        <f t="shared" si="18"/>
        <v>-303000</v>
      </c>
      <c r="K41" s="23">
        <f t="shared" si="18"/>
        <v>-224682.65999999986</v>
      </c>
      <c r="L41" s="23">
        <f t="shared" si="18"/>
        <v>605654.06999999983</v>
      </c>
      <c r="M41" s="23">
        <f t="shared" si="18"/>
        <v>0</v>
      </c>
      <c r="N41" s="23">
        <f t="shared" si="18"/>
        <v>605654.06999999983</v>
      </c>
      <c r="O41" s="23">
        <f t="shared" si="18"/>
        <v>57258</v>
      </c>
      <c r="P41" s="23">
        <f t="shared" si="18"/>
        <v>-160000</v>
      </c>
      <c r="Q41" s="23">
        <f t="shared" si="18"/>
        <v>-102742</v>
      </c>
      <c r="R41" s="23">
        <f t="shared" si="18"/>
        <v>76101</v>
      </c>
      <c r="S41" s="23">
        <f t="shared" si="18"/>
        <v>0</v>
      </c>
      <c r="T41" s="23">
        <f t="shared" si="18"/>
        <v>76101</v>
      </c>
      <c r="U41" s="23">
        <f t="shared" si="18"/>
        <v>10655.4</v>
      </c>
      <c r="V41" s="23">
        <f t="shared" si="18"/>
        <v>0</v>
      </c>
      <c r="W41" s="23">
        <f t="shared" si="18"/>
        <v>10655.4</v>
      </c>
      <c r="X41" s="23">
        <f t="shared" si="18"/>
        <v>29098.69</v>
      </c>
      <c r="Y41" s="23">
        <f t="shared" si="18"/>
        <v>-10000</v>
      </c>
      <c r="Z41" s="23">
        <f t="shared" si="18"/>
        <v>19098.689999999999</v>
      </c>
      <c r="AA41" s="23">
        <f t="shared" si="18"/>
        <v>-9283.58</v>
      </c>
      <c r="AB41" s="23">
        <f t="shared" si="18"/>
        <v>-8000</v>
      </c>
      <c r="AC41" s="23">
        <f t="shared" si="18"/>
        <v>-17283.580000000002</v>
      </c>
      <c r="AD41" s="23">
        <f t="shared" si="18"/>
        <v>7946.37</v>
      </c>
      <c r="AE41" s="23">
        <f t="shared" si="18"/>
        <v>-10000</v>
      </c>
      <c r="AF41" s="23">
        <f t="shared" si="18"/>
        <v>-2053.63</v>
      </c>
      <c r="AG41" s="23">
        <f t="shared" si="18"/>
        <v>0</v>
      </c>
      <c r="AH41" s="23">
        <f t="shared" si="18"/>
        <v>0</v>
      </c>
      <c r="AI41" s="23">
        <f t="shared" si="18"/>
        <v>0</v>
      </c>
      <c r="AJ41" s="23">
        <f t="shared" si="18"/>
        <v>0</v>
      </c>
      <c r="AK41" s="23">
        <f t="shared" si="18"/>
        <v>0</v>
      </c>
      <c r="AL41" s="23">
        <f t="shared" si="18"/>
        <v>0</v>
      </c>
    </row>
    <row r="42" spans="1:38" ht="18" thickTop="1" x14ac:dyDescent="0.3">
      <c r="A42" s="15"/>
      <c r="B42" s="16"/>
      <c r="C42" s="24"/>
      <c r="D42" s="24"/>
      <c r="F42" s="65"/>
      <c r="G42" s="65"/>
      <c r="H42" s="65"/>
      <c r="I42" s="66"/>
      <c r="J42" s="66"/>
      <c r="K42" s="66"/>
      <c r="L42" s="65"/>
      <c r="M42" s="65"/>
      <c r="N42" s="65"/>
      <c r="O42" s="66"/>
      <c r="P42" s="66"/>
      <c r="Q42" s="66"/>
      <c r="R42" s="65"/>
      <c r="S42" s="65"/>
      <c r="T42" s="65"/>
      <c r="U42" s="66"/>
      <c r="V42" s="66"/>
      <c r="W42" s="66"/>
      <c r="X42" s="65"/>
      <c r="Y42" s="65"/>
      <c r="Z42" s="65"/>
      <c r="AA42" s="66"/>
      <c r="AB42" s="66"/>
      <c r="AC42" s="66"/>
      <c r="AD42" s="65"/>
      <c r="AE42" s="65"/>
      <c r="AF42" s="65"/>
      <c r="AG42" s="66"/>
      <c r="AH42" s="66"/>
      <c r="AI42" s="66"/>
      <c r="AJ42" s="65"/>
      <c r="AK42" s="65"/>
      <c r="AL42" s="65"/>
    </row>
    <row r="43" spans="1:38" ht="21.95" customHeight="1" x14ac:dyDescent="0.3">
      <c r="A43" s="15"/>
      <c r="B43" s="16"/>
      <c r="C43" s="24"/>
      <c r="D43" s="24"/>
      <c r="F43" s="65"/>
      <c r="G43" s="65"/>
      <c r="H43" s="65"/>
      <c r="I43" s="66"/>
      <c r="J43" s="66"/>
      <c r="K43" s="66"/>
      <c r="L43" s="65"/>
      <c r="M43" s="65"/>
      <c r="N43" s="65"/>
      <c r="O43" s="66"/>
      <c r="P43" s="66"/>
      <c r="Q43" s="66"/>
      <c r="R43" s="65"/>
      <c r="S43" s="65"/>
      <c r="T43" s="65"/>
      <c r="U43" s="66"/>
      <c r="V43" s="66"/>
      <c r="W43" s="66"/>
      <c r="X43" s="65"/>
      <c r="Y43" s="65"/>
      <c r="Z43" s="65"/>
      <c r="AA43" s="66"/>
      <c r="AB43" s="66"/>
      <c r="AC43" s="66"/>
      <c r="AD43" s="65"/>
      <c r="AE43" s="65"/>
      <c r="AF43" s="65"/>
      <c r="AG43" s="66"/>
      <c r="AH43" s="66"/>
      <c r="AI43" s="66"/>
      <c r="AJ43" s="65"/>
      <c r="AK43" s="65"/>
      <c r="AL43" s="65"/>
    </row>
    <row r="44" spans="1:38" ht="17.25" x14ac:dyDescent="0.3">
      <c r="A44" s="4" t="s">
        <v>13</v>
      </c>
      <c r="B44" s="25"/>
      <c r="C44" s="26"/>
      <c r="D44" s="26"/>
      <c r="F44" s="65"/>
      <c r="G44" s="65"/>
      <c r="H44" s="65"/>
      <c r="I44" s="66"/>
      <c r="J44" s="66"/>
      <c r="K44" s="66"/>
      <c r="L44" s="65"/>
      <c r="M44" s="65"/>
      <c r="N44" s="65"/>
      <c r="O44" s="66"/>
      <c r="P44" s="66"/>
      <c r="Q44" s="66"/>
      <c r="R44" s="65"/>
      <c r="S44" s="65"/>
      <c r="T44" s="65"/>
      <c r="U44" s="66"/>
      <c r="V44" s="66"/>
      <c r="W44" s="66"/>
      <c r="X44" s="65"/>
      <c r="Y44" s="65"/>
      <c r="Z44" s="65"/>
      <c r="AA44" s="66"/>
      <c r="AB44" s="66"/>
      <c r="AC44" s="66"/>
      <c r="AD44" s="65"/>
      <c r="AE44" s="65"/>
      <c r="AF44" s="65"/>
      <c r="AG44" s="66"/>
      <c r="AH44" s="66"/>
      <c r="AI44" s="66"/>
      <c r="AJ44" s="65"/>
      <c r="AK44" s="65"/>
      <c r="AL44" s="65"/>
    </row>
    <row r="45" spans="1:38" ht="17.25" x14ac:dyDescent="0.3">
      <c r="A45" s="15" t="s">
        <v>14</v>
      </c>
      <c r="B45" s="16"/>
      <c r="C45" s="27">
        <f>C41</f>
        <v>171615.18000000025</v>
      </c>
      <c r="D45" s="27">
        <f>D41</f>
        <v>280000</v>
      </c>
      <c r="F45" s="27">
        <f>F41</f>
        <v>-251132.11000000002</v>
      </c>
      <c r="G45" s="27">
        <f t="shared" ref="G45:AL45" si="19">G41</f>
        <v>58000</v>
      </c>
      <c r="H45" s="27">
        <f t="shared" si="19"/>
        <v>-193132.11000000002</v>
      </c>
      <c r="I45" s="27">
        <f t="shared" si="19"/>
        <v>78317.340000000142</v>
      </c>
      <c r="J45" s="27">
        <f t="shared" si="19"/>
        <v>-303000</v>
      </c>
      <c r="K45" s="27">
        <f t="shared" si="19"/>
        <v>-224682.65999999986</v>
      </c>
      <c r="L45" s="27">
        <f t="shared" si="19"/>
        <v>605654.06999999983</v>
      </c>
      <c r="M45" s="27">
        <f t="shared" si="19"/>
        <v>0</v>
      </c>
      <c r="N45" s="27">
        <f>L45+M45</f>
        <v>605654.06999999983</v>
      </c>
      <c r="O45" s="27">
        <f t="shared" si="19"/>
        <v>57258</v>
      </c>
      <c r="P45" s="27">
        <f t="shared" si="19"/>
        <v>-160000</v>
      </c>
      <c r="Q45" s="27">
        <f t="shared" si="19"/>
        <v>-102742</v>
      </c>
      <c r="R45" s="27">
        <f t="shared" si="19"/>
        <v>76101</v>
      </c>
      <c r="S45" s="27"/>
      <c r="T45" s="27">
        <f>R45+S45</f>
        <v>76101</v>
      </c>
      <c r="U45" s="27">
        <f t="shared" si="19"/>
        <v>10655.4</v>
      </c>
      <c r="V45" s="27">
        <f t="shared" si="19"/>
        <v>0</v>
      </c>
      <c r="W45" s="27">
        <f t="shared" si="19"/>
        <v>10655.4</v>
      </c>
      <c r="X45" s="27">
        <f t="shared" si="19"/>
        <v>29098.69</v>
      </c>
      <c r="Y45" s="27">
        <f t="shared" si="19"/>
        <v>-10000</v>
      </c>
      <c r="Z45" s="27">
        <f t="shared" si="19"/>
        <v>19098.689999999999</v>
      </c>
      <c r="AA45" s="27">
        <f t="shared" si="19"/>
        <v>-9283.58</v>
      </c>
      <c r="AB45" s="27">
        <f t="shared" si="19"/>
        <v>-8000</v>
      </c>
      <c r="AC45" s="27">
        <f t="shared" si="19"/>
        <v>-17283.580000000002</v>
      </c>
      <c r="AD45" s="27">
        <f t="shared" si="19"/>
        <v>7946.37</v>
      </c>
      <c r="AE45" s="27">
        <f t="shared" si="19"/>
        <v>-10000</v>
      </c>
      <c r="AF45" s="27">
        <f t="shared" si="19"/>
        <v>-2053.63</v>
      </c>
      <c r="AG45" s="27">
        <f t="shared" si="19"/>
        <v>0</v>
      </c>
      <c r="AH45" s="27">
        <f t="shared" si="19"/>
        <v>0</v>
      </c>
      <c r="AI45" s="27">
        <f t="shared" si="19"/>
        <v>0</v>
      </c>
      <c r="AJ45" s="27">
        <f t="shared" si="19"/>
        <v>0</v>
      </c>
      <c r="AK45" s="27">
        <f t="shared" si="19"/>
        <v>0</v>
      </c>
      <c r="AL45" s="27">
        <f t="shared" si="19"/>
        <v>0</v>
      </c>
    </row>
    <row r="46" spans="1:38" s="3" customFormat="1" ht="18.95" customHeight="1" thickBot="1" x14ac:dyDescent="0.35">
      <c r="A46" s="4" t="s">
        <v>15</v>
      </c>
      <c r="B46" s="16"/>
      <c r="C46" s="23">
        <f>SUM(C45:C45)</f>
        <v>171615.18000000025</v>
      </c>
      <c r="D46" s="23">
        <f>D41</f>
        <v>280000</v>
      </c>
      <c r="F46" s="23">
        <f t="shared" ref="F46:AL46" si="20">SUM(F45:F45)</f>
        <v>-251132.11000000002</v>
      </c>
      <c r="G46" s="23">
        <f t="shared" si="20"/>
        <v>58000</v>
      </c>
      <c r="H46" s="23">
        <f t="shared" si="20"/>
        <v>-193132.11000000002</v>
      </c>
      <c r="I46" s="23">
        <f t="shared" si="20"/>
        <v>78317.340000000142</v>
      </c>
      <c r="J46" s="23">
        <f t="shared" si="20"/>
        <v>-303000</v>
      </c>
      <c r="K46" s="23">
        <f t="shared" si="20"/>
        <v>-224682.65999999986</v>
      </c>
      <c r="L46" s="23">
        <f t="shared" si="20"/>
        <v>605654.06999999983</v>
      </c>
      <c r="M46" s="23">
        <f t="shared" si="20"/>
        <v>0</v>
      </c>
      <c r="N46" s="23">
        <f t="shared" si="20"/>
        <v>605654.06999999983</v>
      </c>
      <c r="O46" s="23">
        <f t="shared" si="20"/>
        <v>57258</v>
      </c>
      <c r="P46" s="23">
        <f t="shared" si="20"/>
        <v>-160000</v>
      </c>
      <c r="Q46" s="23">
        <f t="shared" si="20"/>
        <v>-102742</v>
      </c>
      <c r="R46" s="23">
        <f t="shared" si="20"/>
        <v>76101</v>
      </c>
      <c r="S46" s="23">
        <f t="shared" si="20"/>
        <v>0</v>
      </c>
      <c r="T46" s="23">
        <f t="shared" si="20"/>
        <v>76101</v>
      </c>
      <c r="U46" s="23">
        <f t="shared" si="20"/>
        <v>10655.4</v>
      </c>
      <c r="V46" s="23">
        <f t="shared" si="20"/>
        <v>0</v>
      </c>
      <c r="W46" s="23">
        <f t="shared" si="20"/>
        <v>10655.4</v>
      </c>
      <c r="X46" s="23">
        <f t="shared" si="20"/>
        <v>29098.69</v>
      </c>
      <c r="Y46" s="23">
        <f t="shared" si="20"/>
        <v>-10000</v>
      </c>
      <c r="Z46" s="23">
        <f t="shared" si="20"/>
        <v>19098.689999999999</v>
      </c>
      <c r="AA46" s="23">
        <f t="shared" si="20"/>
        <v>-9283.58</v>
      </c>
      <c r="AB46" s="23">
        <f t="shared" si="20"/>
        <v>-8000</v>
      </c>
      <c r="AC46" s="23">
        <f t="shared" si="20"/>
        <v>-17283.580000000002</v>
      </c>
      <c r="AD46" s="23">
        <f t="shared" si="20"/>
        <v>7946.37</v>
      </c>
      <c r="AE46" s="23">
        <f t="shared" si="20"/>
        <v>-10000</v>
      </c>
      <c r="AF46" s="23">
        <f t="shared" si="20"/>
        <v>-2053.63</v>
      </c>
      <c r="AG46" s="23">
        <f t="shared" si="20"/>
        <v>0</v>
      </c>
      <c r="AH46" s="23">
        <f t="shared" si="20"/>
        <v>0</v>
      </c>
      <c r="AI46" s="23">
        <f t="shared" si="20"/>
        <v>0</v>
      </c>
      <c r="AJ46" s="23">
        <f t="shared" si="20"/>
        <v>0</v>
      </c>
      <c r="AK46" s="23">
        <f t="shared" si="20"/>
        <v>0</v>
      </c>
      <c r="AL46" s="23">
        <f t="shared" si="20"/>
        <v>0</v>
      </c>
    </row>
    <row r="47" spans="1:38" s="3" customFormat="1" ht="18.95" customHeight="1" thickTop="1" x14ac:dyDescent="0.3">
      <c r="A47" s="4"/>
      <c r="B47" s="16"/>
      <c r="C47" s="28"/>
      <c r="D47" s="29"/>
      <c r="F47" s="65"/>
      <c r="G47" s="65"/>
      <c r="H47" s="65"/>
      <c r="I47" s="66"/>
      <c r="J47" s="66"/>
      <c r="K47" s="66"/>
      <c r="L47" s="65"/>
      <c r="M47" s="65"/>
      <c r="N47" s="65"/>
      <c r="O47" s="66"/>
      <c r="P47" s="66"/>
      <c r="Q47" s="66"/>
      <c r="R47" s="65"/>
      <c r="S47" s="65"/>
      <c r="T47" s="65"/>
      <c r="U47" s="66"/>
      <c r="V47" s="66"/>
      <c r="W47" s="66"/>
      <c r="X47" s="65"/>
      <c r="Y47" s="65"/>
      <c r="Z47" s="65"/>
      <c r="AA47" s="66"/>
      <c r="AB47" s="66"/>
      <c r="AC47" s="66"/>
      <c r="AD47" s="65"/>
      <c r="AE47" s="65"/>
      <c r="AF47" s="65"/>
      <c r="AG47" s="66"/>
      <c r="AH47" s="66"/>
      <c r="AI47" s="66"/>
      <c r="AJ47" s="65"/>
      <c r="AK47" s="65"/>
      <c r="AL47" s="65"/>
    </row>
    <row r="48" spans="1:38" s="3" customFormat="1" ht="18.95" customHeight="1" x14ac:dyDescent="0.3">
      <c r="A48" s="4"/>
      <c r="B48" s="16"/>
      <c r="C48" s="28"/>
      <c r="D48" s="29"/>
      <c r="F48" s="65"/>
      <c r="G48" s="65"/>
      <c r="H48" s="65"/>
      <c r="I48" s="66"/>
      <c r="J48" s="66"/>
      <c r="K48" s="66"/>
      <c r="L48" s="65"/>
      <c r="M48" s="65"/>
      <c r="N48" s="65"/>
      <c r="O48" s="66"/>
      <c r="P48" s="66"/>
      <c r="Q48" s="66"/>
      <c r="R48" s="65"/>
      <c r="S48" s="65"/>
      <c r="T48" s="65"/>
      <c r="U48" s="66"/>
      <c r="V48" s="66"/>
      <c r="W48" s="66"/>
      <c r="X48" s="65"/>
      <c r="Y48" s="65"/>
      <c r="Z48" s="65"/>
      <c r="AA48" s="66"/>
      <c r="AB48" s="66"/>
      <c r="AC48" s="66"/>
      <c r="AD48" s="65"/>
      <c r="AE48" s="65"/>
      <c r="AF48" s="65"/>
      <c r="AG48" s="66"/>
      <c r="AH48" s="66"/>
      <c r="AI48" s="66"/>
      <c r="AJ48" s="65"/>
      <c r="AK48" s="65"/>
      <c r="AL48" s="65"/>
    </row>
    <row r="49" spans="1:38" s="3" customFormat="1" ht="30" customHeight="1" x14ac:dyDescent="0.4">
      <c r="A49" s="1" t="str">
        <f>A1</f>
        <v>Otta Idrettslag - med undergrupper</v>
      </c>
      <c r="B49" s="16"/>
      <c r="C49" s="28"/>
      <c r="D49" s="29"/>
      <c r="F49" s="65"/>
      <c r="G49" s="65"/>
      <c r="H49" s="65"/>
      <c r="I49" s="66"/>
      <c r="J49" s="66"/>
      <c r="K49" s="66"/>
      <c r="L49" s="65"/>
      <c r="M49" s="65"/>
      <c r="N49" s="65"/>
      <c r="O49" s="66"/>
      <c r="P49" s="66"/>
      <c r="Q49" s="66"/>
      <c r="R49" s="65"/>
      <c r="S49" s="65"/>
      <c r="T49" s="65"/>
      <c r="U49" s="66"/>
      <c r="V49" s="66"/>
      <c r="W49" s="66"/>
      <c r="X49" s="65"/>
      <c r="Y49" s="65"/>
      <c r="Z49" s="65"/>
      <c r="AA49" s="66"/>
      <c r="AB49" s="66"/>
      <c r="AC49" s="66"/>
      <c r="AD49" s="65"/>
      <c r="AE49" s="65"/>
      <c r="AF49" s="65"/>
      <c r="AG49" s="66"/>
      <c r="AH49" s="66"/>
      <c r="AI49" s="66"/>
      <c r="AJ49" s="65"/>
      <c r="AK49" s="65"/>
      <c r="AL49" s="65"/>
    </row>
    <row r="50" spans="1:38" s="3" customFormat="1" x14ac:dyDescent="0.2">
      <c r="A50" s="15"/>
      <c r="B50" s="5"/>
      <c r="C50" s="14"/>
      <c r="D50" s="14"/>
      <c r="F50" s="65"/>
      <c r="G50" s="65"/>
      <c r="H50" s="65"/>
      <c r="I50" s="66"/>
      <c r="J50" s="66"/>
      <c r="K50" s="66"/>
      <c r="L50" s="65"/>
      <c r="M50" s="65"/>
      <c r="N50" s="65"/>
      <c r="O50" s="66"/>
      <c r="P50" s="66"/>
      <c r="Q50" s="66"/>
      <c r="R50" s="65"/>
      <c r="S50" s="65"/>
      <c r="T50" s="65"/>
      <c r="U50" s="66"/>
      <c r="V50" s="66"/>
      <c r="W50" s="66"/>
      <c r="X50" s="65"/>
      <c r="Y50" s="65"/>
      <c r="Z50" s="65"/>
      <c r="AA50" s="66"/>
      <c r="AB50" s="66"/>
      <c r="AC50" s="66"/>
      <c r="AD50" s="65"/>
      <c r="AE50" s="65"/>
      <c r="AF50" s="65"/>
      <c r="AG50" s="66"/>
      <c r="AH50" s="66"/>
      <c r="AI50" s="66"/>
      <c r="AJ50" s="65"/>
      <c r="AK50" s="65"/>
      <c r="AL50" s="65"/>
    </row>
    <row r="51" spans="1:38" s="3" customFormat="1" x14ac:dyDescent="0.2">
      <c r="A51" s="4" t="s">
        <v>16</v>
      </c>
      <c r="B51" s="5"/>
      <c r="C51" s="30"/>
      <c r="D51" s="30"/>
      <c r="F51" s="65"/>
      <c r="G51" s="65"/>
      <c r="H51" s="65"/>
      <c r="I51" s="66"/>
      <c r="J51" s="66"/>
      <c r="K51" s="66"/>
      <c r="L51" s="65"/>
      <c r="M51" s="65"/>
      <c r="N51" s="65"/>
      <c r="O51" s="66"/>
      <c r="P51" s="66"/>
      <c r="Q51" s="66"/>
      <c r="R51" s="65"/>
      <c r="S51" s="65"/>
      <c r="T51" s="65"/>
      <c r="U51" s="66"/>
      <c r="V51" s="66"/>
      <c r="W51" s="66"/>
      <c r="X51" s="65"/>
      <c r="Y51" s="65"/>
      <c r="Z51" s="65"/>
      <c r="AA51" s="66"/>
      <c r="AB51" s="66"/>
      <c r="AC51" s="66"/>
      <c r="AD51" s="65"/>
      <c r="AE51" s="65"/>
      <c r="AF51" s="65"/>
      <c r="AG51" s="66"/>
      <c r="AH51" s="66"/>
      <c r="AI51" s="66"/>
      <c r="AJ51" s="65"/>
      <c r="AK51" s="65"/>
      <c r="AL51" s="65"/>
    </row>
    <row r="52" spans="1:38" s="3" customFormat="1" x14ac:dyDescent="0.2">
      <c r="A52" s="31"/>
      <c r="B52" s="32"/>
      <c r="C52" s="33">
        <f>C4</f>
        <v>2009</v>
      </c>
      <c r="D52" s="34"/>
      <c r="F52" s="65"/>
      <c r="G52" s="65"/>
      <c r="H52" s="65"/>
      <c r="I52" s="66"/>
      <c r="J52" s="66"/>
      <c r="K52" s="66"/>
      <c r="L52" s="65"/>
      <c r="M52" s="65"/>
      <c r="N52" s="65"/>
      <c r="O52" s="66"/>
      <c r="P52" s="66"/>
      <c r="Q52" s="66"/>
      <c r="R52" s="65"/>
      <c r="S52" s="65"/>
      <c r="T52" s="65"/>
      <c r="U52" s="66"/>
      <c r="V52" s="66"/>
      <c r="W52" s="66"/>
      <c r="X52" s="65"/>
      <c r="Y52" s="65"/>
      <c r="Z52" s="65"/>
      <c r="AA52" s="66"/>
      <c r="AB52" s="66"/>
      <c r="AC52" s="66"/>
      <c r="AD52" s="65"/>
      <c r="AE52" s="65"/>
      <c r="AF52" s="65"/>
      <c r="AG52" s="66"/>
      <c r="AH52" s="66"/>
      <c r="AI52" s="66"/>
      <c r="AJ52" s="65"/>
      <c r="AK52" s="65"/>
      <c r="AL52" s="65"/>
    </row>
    <row r="53" spans="1:38" s="3" customFormat="1" ht="15.75" x14ac:dyDescent="0.25">
      <c r="A53" s="35" t="s">
        <v>17</v>
      </c>
      <c r="B53" s="36" t="s">
        <v>4</v>
      </c>
      <c r="C53" s="37"/>
      <c r="D53" s="38"/>
      <c r="F53" s="65"/>
      <c r="G53" s="65"/>
      <c r="H53" s="65"/>
      <c r="I53" s="66"/>
      <c r="J53" s="66"/>
      <c r="K53" s="66"/>
      <c r="L53" s="65"/>
      <c r="M53" s="65"/>
      <c r="N53" s="65"/>
      <c r="O53" s="66"/>
      <c r="P53" s="66"/>
      <c r="Q53" s="66"/>
      <c r="R53" s="65"/>
      <c r="S53" s="65"/>
      <c r="T53" s="65"/>
      <c r="U53" s="66"/>
      <c r="V53" s="66"/>
      <c r="W53" s="66"/>
      <c r="X53" s="65"/>
      <c r="Y53" s="65"/>
      <c r="Z53" s="65"/>
      <c r="AA53" s="66"/>
      <c r="AB53" s="66"/>
      <c r="AC53" s="66"/>
      <c r="AD53" s="65"/>
      <c r="AE53" s="65"/>
      <c r="AF53" s="65"/>
      <c r="AG53" s="66"/>
      <c r="AH53" s="66"/>
      <c r="AI53" s="66"/>
      <c r="AJ53" s="65"/>
      <c r="AK53" s="65"/>
      <c r="AL53" s="65"/>
    </row>
    <row r="54" spans="1:38" s="3" customFormat="1" ht="19.5" customHeight="1" x14ac:dyDescent="0.25">
      <c r="A54" s="39"/>
      <c r="B54" s="40"/>
      <c r="C54" s="41"/>
      <c r="D54" s="38"/>
      <c r="F54" s="65"/>
      <c r="G54" s="65"/>
      <c r="H54" s="65"/>
      <c r="I54" s="66"/>
      <c r="J54" s="66"/>
      <c r="K54" s="66"/>
      <c r="L54" s="65"/>
      <c r="M54" s="65"/>
      <c r="N54" s="65"/>
      <c r="O54" s="66"/>
      <c r="P54" s="66"/>
      <c r="Q54" s="66"/>
      <c r="R54" s="65"/>
      <c r="S54" s="65"/>
      <c r="T54" s="65"/>
      <c r="U54" s="66"/>
      <c r="V54" s="66"/>
      <c r="W54" s="66"/>
      <c r="X54" s="65"/>
      <c r="Y54" s="65"/>
      <c r="Z54" s="65"/>
      <c r="AA54" s="66"/>
      <c r="AB54" s="66"/>
      <c r="AC54" s="66"/>
      <c r="AD54" s="65"/>
      <c r="AE54" s="65"/>
      <c r="AF54" s="65"/>
      <c r="AG54" s="66"/>
      <c r="AH54" s="66"/>
      <c r="AI54" s="66"/>
      <c r="AJ54" s="65"/>
      <c r="AK54" s="65"/>
      <c r="AL54" s="65"/>
    </row>
    <row r="55" spans="1:38" s="3" customFormat="1" ht="15.75" x14ac:dyDescent="0.25">
      <c r="A55" s="4" t="s">
        <v>18</v>
      </c>
      <c r="B55" s="16"/>
      <c r="C55" s="41"/>
      <c r="D55" s="42"/>
      <c r="F55" s="65"/>
      <c r="G55" s="65"/>
      <c r="H55" s="65"/>
      <c r="I55" s="66"/>
      <c r="J55" s="66"/>
      <c r="K55" s="66"/>
      <c r="L55" s="65"/>
      <c r="M55" s="65"/>
      <c r="N55" s="65"/>
      <c r="O55" s="66"/>
      <c r="P55" s="66"/>
      <c r="Q55" s="66"/>
      <c r="R55" s="65"/>
      <c r="S55" s="65"/>
      <c r="T55" s="65"/>
      <c r="U55" s="66"/>
      <c r="V55" s="66"/>
      <c r="W55" s="66"/>
      <c r="X55" s="65"/>
      <c r="Y55" s="65"/>
      <c r="Z55" s="65"/>
      <c r="AA55" s="66"/>
      <c r="AB55" s="66"/>
      <c r="AC55" s="66"/>
      <c r="AD55" s="65"/>
      <c r="AE55" s="65"/>
      <c r="AF55" s="65"/>
      <c r="AG55" s="66"/>
      <c r="AH55" s="66"/>
      <c r="AI55" s="66"/>
      <c r="AJ55" s="65"/>
      <c r="AK55" s="65"/>
      <c r="AL55" s="65"/>
    </row>
    <row r="56" spans="1:38" s="3" customFormat="1" ht="14.1" customHeight="1" x14ac:dyDescent="0.3">
      <c r="A56" s="15"/>
      <c r="B56" s="16"/>
      <c r="C56" s="41"/>
      <c r="D56" s="28"/>
      <c r="F56" s="65"/>
      <c r="G56" s="65"/>
      <c r="H56" s="65"/>
      <c r="I56" s="66"/>
      <c r="J56" s="66"/>
      <c r="K56" s="66"/>
      <c r="L56" s="65"/>
      <c r="M56" s="65"/>
      <c r="N56" s="65"/>
      <c r="O56" s="66"/>
      <c r="P56" s="66"/>
      <c r="Q56" s="66"/>
      <c r="R56" s="65"/>
      <c r="S56" s="65"/>
      <c r="T56" s="65"/>
      <c r="U56" s="66"/>
      <c r="V56" s="66"/>
      <c r="W56" s="66"/>
      <c r="X56" s="65"/>
      <c r="Y56" s="65"/>
      <c r="Z56" s="65"/>
      <c r="AA56" s="66"/>
      <c r="AB56" s="66"/>
      <c r="AC56" s="66"/>
      <c r="AD56" s="65"/>
      <c r="AE56" s="65"/>
      <c r="AF56" s="65"/>
      <c r="AG56" s="66"/>
      <c r="AH56" s="66"/>
      <c r="AI56" s="66"/>
      <c r="AJ56" s="65"/>
      <c r="AK56" s="65"/>
      <c r="AL56" s="65"/>
    </row>
    <row r="57" spans="1:38" s="3" customFormat="1" ht="15.75" x14ac:dyDescent="0.25">
      <c r="A57" s="70" t="s">
        <v>70</v>
      </c>
      <c r="B57" s="16"/>
      <c r="C57" s="41"/>
      <c r="D57" s="42"/>
      <c r="F57" s="65"/>
      <c r="G57" s="65"/>
      <c r="H57" s="65"/>
      <c r="I57" s="66"/>
      <c r="J57" s="66"/>
      <c r="K57" s="66"/>
      <c r="L57" s="65"/>
      <c r="M57" s="65"/>
      <c r="N57" s="65"/>
      <c r="O57" s="66"/>
      <c r="P57" s="66"/>
      <c r="Q57" s="66"/>
      <c r="R57" s="65"/>
      <c r="S57" s="65"/>
      <c r="T57" s="65"/>
      <c r="U57" s="66"/>
      <c r="V57" s="66"/>
      <c r="W57" s="66"/>
      <c r="X57" s="65"/>
      <c r="Y57" s="65"/>
      <c r="Z57" s="65"/>
      <c r="AA57" s="66"/>
      <c r="AB57" s="66"/>
      <c r="AC57" s="66"/>
      <c r="AD57" s="65"/>
      <c r="AE57" s="65"/>
      <c r="AF57" s="65"/>
      <c r="AG57" s="66"/>
      <c r="AH57" s="66"/>
      <c r="AI57" s="66"/>
      <c r="AJ57" s="65"/>
      <c r="AK57" s="65"/>
      <c r="AL57" s="65"/>
    </row>
    <row r="58" spans="1:38" s="3" customFormat="1" ht="15.75" x14ac:dyDescent="0.25">
      <c r="A58" s="68" t="s">
        <v>66</v>
      </c>
      <c r="B58" s="16"/>
      <c r="C58" s="14">
        <f t="shared" ref="C58:C59" si="21">H58+K58+N58+Q58+T58+W58+Z58+AC58+AF58+AI58+AL58</f>
        <v>2139800</v>
      </c>
      <c r="D58" s="42"/>
      <c r="F58" s="65">
        <v>2139800</v>
      </c>
      <c r="G58" s="65"/>
      <c r="H58" s="65">
        <f t="shared" ref="H58:H95" si="22">F58+G58</f>
        <v>2139800</v>
      </c>
      <c r="I58" s="66"/>
      <c r="J58" s="66"/>
      <c r="K58" s="66">
        <f t="shared" ref="K58:K95" si="23">I58+J58</f>
        <v>0</v>
      </c>
      <c r="L58" s="65"/>
      <c r="M58" s="65"/>
      <c r="N58" s="65">
        <f t="shared" ref="N58:N95" si="24">L58+M58</f>
        <v>0</v>
      </c>
      <c r="O58" s="66"/>
      <c r="P58" s="66"/>
      <c r="Q58" s="66">
        <f t="shared" ref="Q58:Q95" si="25">O58+P58</f>
        <v>0</v>
      </c>
      <c r="R58" s="65"/>
      <c r="S58" s="65"/>
      <c r="T58" s="65">
        <f t="shared" ref="T58:T95" si="26">R58+S58</f>
        <v>0</v>
      </c>
      <c r="U58" s="66"/>
      <c r="V58" s="66"/>
      <c r="W58" s="66">
        <f t="shared" ref="W58:W95" si="27">U58+V58</f>
        <v>0</v>
      </c>
      <c r="X58" s="65"/>
      <c r="Y58" s="65"/>
      <c r="Z58" s="65">
        <f t="shared" ref="Z58:Z95" si="28">X58+Y58</f>
        <v>0</v>
      </c>
      <c r="AA58" s="66"/>
      <c r="AB58" s="66"/>
      <c r="AC58" s="66">
        <f t="shared" ref="AC58:AC95" si="29">AA58+AB58</f>
        <v>0</v>
      </c>
      <c r="AD58" s="65"/>
      <c r="AE58" s="65"/>
      <c r="AF58" s="65">
        <f t="shared" ref="AF58:AF95" si="30">AD58+AE58</f>
        <v>0</v>
      </c>
      <c r="AG58" s="66"/>
      <c r="AH58" s="66"/>
      <c r="AI58" s="66">
        <f t="shared" ref="AI58:AI95" si="31">AG58+AH58</f>
        <v>0</v>
      </c>
      <c r="AJ58" s="65"/>
      <c r="AK58" s="65"/>
      <c r="AL58" s="65">
        <f t="shared" ref="AL58:AL95" si="32">AJ58+AK58</f>
        <v>0</v>
      </c>
    </row>
    <row r="59" spans="1:38" s="3" customFormat="1" ht="17.25" x14ac:dyDescent="0.3">
      <c r="A59" s="68" t="s">
        <v>67</v>
      </c>
      <c r="B59" s="16"/>
      <c r="C59" s="14">
        <f t="shared" si="21"/>
        <v>43600</v>
      </c>
      <c r="D59" s="24"/>
      <c r="F59" s="65">
        <v>10000</v>
      </c>
      <c r="G59" s="65"/>
      <c r="H59" s="65">
        <f t="shared" si="22"/>
        <v>10000</v>
      </c>
      <c r="I59" s="66">
        <v>33600</v>
      </c>
      <c r="J59" s="66"/>
      <c r="K59" s="66">
        <f t="shared" si="23"/>
        <v>33600</v>
      </c>
      <c r="L59" s="65"/>
      <c r="M59" s="65"/>
      <c r="N59" s="65">
        <f t="shared" si="24"/>
        <v>0</v>
      </c>
      <c r="O59" s="66"/>
      <c r="P59" s="66"/>
      <c r="Q59" s="66">
        <f t="shared" si="25"/>
        <v>0</v>
      </c>
      <c r="R59" s="65"/>
      <c r="S59" s="65"/>
      <c r="T59" s="65">
        <f t="shared" si="26"/>
        <v>0</v>
      </c>
      <c r="U59" s="66"/>
      <c r="V59" s="66"/>
      <c r="W59" s="66">
        <f t="shared" si="27"/>
        <v>0</v>
      </c>
      <c r="X59" s="65"/>
      <c r="Y59" s="65"/>
      <c r="Z59" s="65">
        <f t="shared" si="28"/>
        <v>0</v>
      </c>
      <c r="AA59" s="66"/>
      <c r="AB59" s="66"/>
      <c r="AC59" s="66">
        <f t="shared" si="29"/>
        <v>0</v>
      </c>
      <c r="AD59" s="65"/>
      <c r="AE59" s="65"/>
      <c r="AF59" s="65">
        <f t="shared" si="30"/>
        <v>0</v>
      </c>
      <c r="AG59" s="66"/>
      <c r="AH59" s="66"/>
      <c r="AI59" s="66">
        <f t="shared" si="31"/>
        <v>0</v>
      </c>
      <c r="AJ59" s="65"/>
      <c r="AK59" s="65"/>
      <c r="AL59" s="65">
        <f t="shared" si="32"/>
        <v>0</v>
      </c>
    </row>
    <row r="60" spans="1:38" s="3" customFormat="1" ht="17.25" x14ac:dyDescent="0.3">
      <c r="A60" s="4" t="s">
        <v>19</v>
      </c>
      <c r="B60" s="16"/>
      <c r="C60" s="17">
        <f>SUM(C58:C59)</f>
        <v>2183400</v>
      </c>
      <c r="D60" s="28"/>
      <c r="F60" s="17">
        <f>SUM(F58:F59)</f>
        <v>2149800</v>
      </c>
      <c r="G60" s="17">
        <f t="shared" ref="G60:AL60" si="33">SUM(G58:G59)</f>
        <v>0</v>
      </c>
      <c r="H60" s="17">
        <f t="shared" si="33"/>
        <v>2149800</v>
      </c>
      <c r="I60" s="17">
        <f t="shared" si="33"/>
        <v>33600</v>
      </c>
      <c r="J60" s="17">
        <f t="shared" si="33"/>
        <v>0</v>
      </c>
      <c r="K60" s="17">
        <f t="shared" si="33"/>
        <v>33600</v>
      </c>
      <c r="L60" s="17">
        <f t="shared" si="33"/>
        <v>0</v>
      </c>
      <c r="M60" s="17">
        <f t="shared" si="33"/>
        <v>0</v>
      </c>
      <c r="N60" s="17">
        <f t="shared" si="33"/>
        <v>0</v>
      </c>
      <c r="O60" s="17">
        <f t="shared" si="33"/>
        <v>0</v>
      </c>
      <c r="P60" s="17">
        <f t="shared" si="33"/>
        <v>0</v>
      </c>
      <c r="Q60" s="17">
        <f t="shared" si="33"/>
        <v>0</v>
      </c>
      <c r="R60" s="17">
        <f t="shared" si="33"/>
        <v>0</v>
      </c>
      <c r="S60" s="17">
        <f t="shared" si="33"/>
        <v>0</v>
      </c>
      <c r="T60" s="17">
        <f t="shared" si="33"/>
        <v>0</v>
      </c>
      <c r="U60" s="17">
        <f t="shared" si="33"/>
        <v>0</v>
      </c>
      <c r="V60" s="17">
        <f t="shared" si="33"/>
        <v>0</v>
      </c>
      <c r="W60" s="17">
        <f t="shared" si="33"/>
        <v>0</v>
      </c>
      <c r="X60" s="17">
        <f t="shared" si="33"/>
        <v>0</v>
      </c>
      <c r="Y60" s="17">
        <f t="shared" si="33"/>
        <v>0</v>
      </c>
      <c r="Z60" s="17">
        <f t="shared" si="33"/>
        <v>0</v>
      </c>
      <c r="AA60" s="17">
        <f t="shared" si="33"/>
        <v>0</v>
      </c>
      <c r="AB60" s="17">
        <f t="shared" si="33"/>
        <v>0</v>
      </c>
      <c r="AC60" s="17">
        <f t="shared" si="33"/>
        <v>0</v>
      </c>
      <c r="AD60" s="17">
        <f t="shared" si="33"/>
        <v>0</v>
      </c>
      <c r="AE60" s="17">
        <f t="shared" si="33"/>
        <v>0</v>
      </c>
      <c r="AF60" s="17">
        <f t="shared" si="33"/>
        <v>0</v>
      </c>
      <c r="AG60" s="17">
        <f t="shared" si="33"/>
        <v>0</v>
      </c>
      <c r="AH60" s="17">
        <f t="shared" si="33"/>
        <v>0</v>
      </c>
      <c r="AI60" s="17">
        <f t="shared" si="33"/>
        <v>0</v>
      </c>
      <c r="AJ60" s="17">
        <f t="shared" si="33"/>
        <v>0</v>
      </c>
      <c r="AK60" s="17">
        <f t="shared" si="33"/>
        <v>0</v>
      </c>
      <c r="AL60" s="17">
        <f t="shared" si="33"/>
        <v>0</v>
      </c>
    </row>
    <row r="61" spans="1:38" s="3" customFormat="1" ht="17.25" x14ac:dyDescent="0.3">
      <c r="A61" s="4"/>
      <c r="B61" s="16"/>
      <c r="C61" s="19"/>
      <c r="D61" s="28"/>
      <c r="F61" s="65"/>
      <c r="G61" s="65"/>
      <c r="H61" s="65"/>
      <c r="I61" s="66"/>
      <c r="J61" s="66"/>
      <c r="K61" s="66"/>
      <c r="L61" s="65"/>
      <c r="M61" s="65"/>
      <c r="N61" s="65"/>
      <c r="O61" s="66"/>
      <c r="P61" s="66"/>
      <c r="Q61" s="66"/>
      <c r="R61" s="65"/>
      <c r="S61" s="65"/>
      <c r="T61" s="65"/>
      <c r="U61" s="66"/>
      <c r="V61" s="66"/>
      <c r="W61" s="66"/>
      <c r="X61" s="65"/>
      <c r="Y61" s="65"/>
      <c r="Z61" s="65"/>
      <c r="AA61" s="66"/>
      <c r="AB61" s="66"/>
      <c r="AC61" s="66"/>
      <c r="AD61" s="65"/>
      <c r="AE61" s="65"/>
      <c r="AF61" s="65"/>
      <c r="AG61" s="66"/>
      <c r="AH61" s="66"/>
      <c r="AI61" s="66"/>
      <c r="AJ61" s="65"/>
      <c r="AK61" s="65"/>
      <c r="AL61" s="65"/>
    </row>
    <row r="62" spans="1:38" s="3" customFormat="1" ht="17.25" x14ac:dyDescent="0.3">
      <c r="A62" s="70" t="s">
        <v>71</v>
      </c>
      <c r="B62" s="16"/>
      <c r="C62" s="19"/>
      <c r="D62" s="28"/>
      <c r="F62" s="65"/>
      <c r="G62" s="65"/>
      <c r="H62" s="65"/>
      <c r="I62" s="66"/>
      <c r="J62" s="66"/>
      <c r="K62" s="66"/>
      <c r="L62" s="65"/>
      <c r="M62" s="65"/>
      <c r="N62" s="65"/>
      <c r="O62" s="66"/>
      <c r="P62" s="66"/>
      <c r="Q62" s="66"/>
      <c r="R62" s="65"/>
      <c r="S62" s="65"/>
      <c r="T62" s="65"/>
      <c r="U62" s="66"/>
      <c r="V62" s="66"/>
      <c r="W62" s="66"/>
      <c r="X62" s="65"/>
      <c r="Y62" s="65"/>
      <c r="Z62" s="65"/>
      <c r="AA62" s="66"/>
      <c r="AB62" s="66"/>
      <c r="AC62" s="66"/>
      <c r="AD62" s="65"/>
      <c r="AE62" s="65"/>
      <c r="AF62" s="65"/>
      <c r="AG62" s="66"/>
      <c r="AH62" s="66"/>
      <c r="AI62" s="66"/>
      <c r="AJ62" s="65"/>
      <c r="AK62" s="65"/>
      <c r="AL62" s="65"/>
    </row>
    <row r="63" spans="1:38" s="3" customFormat="1" ht="17.25" x14ac:dyDescent="0.3">
      <c r="A63" s="68" t="s">
        <v>72</v>
      </c>
      <c r="B63" s="16"/>
      <c r="C63" s="14">
        <f t="shared" ref="C63" si="34">H63+K63+N63+Q63+T63+W63+Z63+AC63+AF63+AI63+AL63</f>
        <v>331008</v>
      </c>
      <c r="D63" s="28"/>
      <c r="F63" s="65">
        <v>331008</v>
      </c>
      <c r="G63" s="65"/>
      <c r="H63" s="65">
        <f t="shared" si="22"/>
        <v>331008</v>
      </c>
      <c r="I63" s="66"/>
      <c r="J63" s="66"/>
      <c r="K63" s="66"/>
      <c r="L63" s="65"/>
      <c r="M63" s="65"/>
      <c r="N63" s="65"/>
      <c r="O63" s="66"/>
      <c r="P63" s="66"/>
      <c r="Q63" s="66"/>
      <c r="R63" s="65"/>
      <c r="S63" s="65"/>
      <c r="T63" s="65"/>
      <c r="U63" s="66"/>
      <c r="V63" s="66"/>
      <c r="W63" s="66"/>
      <c r="X63" s="65"/>
      <c r="Y63" s="65"/>
      <c r="Z63" s="65"/>
      <c r="AA63" s="66"/>
      <c r="AB63" s="66"/>
      <c r="AC63" s="66"/>
      <c r="AD63" s="65"/>
      <c r="AE63" s="65"/>
      <c r="AF63" s="65"/>
      <c r="AG63" s="66"/>
      <c r="AH63" s="66"/>
      <c r="AI63" s="66"/>
      <c r="AJ63" s="65"/>
      <c r="AK63" s="65"/>
      <c r="AL63" s="65"/>
    </row>
    <row r="64" spans="1:38" s="3" customFormat="1" ht="17.25" x14ac:dyDescent="0.3">
      <c r="A64" s="71" t="s">
        <v>73</v>
      </c>
      <c r="B64" s="16"/>
      <c r="C64" s="17">
        <f>SUM(C62:C63)</f>
        <v>331008</v>
      </c>
      <c r="D64" s="28"/>
      <c r="F64" s="17">
        <f>SUM(F62:F63)</f>
        <v>331008</v>
      </c>
      <c r="G64" s="17">
        <f t="shared" ref="G64:AL64" si="35">SUM(G62:G63)</f>
        <v>0</v>
      </c>
      <c r="H64" s="17">
        <f t="shared" si="35"/>
        <v>331008</v>
      </c>
      <c r="I64" s="17">
        <f t="shared" si="35"/>
        <v>0</v>
      </c>
      <c r="J64" s="17">
        <f t="shared" si="35"/>
        <v>0</v>
      </c>
      <c r="K64" s="17">
        <f t="shared" si="35"/>
        <v>0</v>
      </c>
      <c r="L64" s="17">
        <f t="shared" si="35"/>
        <v>0</v>
      </c>
      <c r="M64" s="17">
        <f t="shared" si="35"/>
        <v>0</v>
      </c>
      <c r="N64" s="17">
        <f t="shared" si="35"/>
        <v>0</v>
      </c>
      <c r="O64" s="17">
        <f t="shared" si="35"/>
        <v>0</v>
      </c>
      <c r="P64" s="17">
        <f t="shared" si="35"/>
        <v>0</v>
      </c>
      <c r="Q64" s="17">
        <f t="shared" si="35"/>
        <v>0</v>
      </c>
      <c r="R64" s="17">
        <f t="shared" si="35"/>
        <v>0</v>
      </c>
      <c r="S64" s="17">
        <f t="shared" si="35"/>
        <v>0</v>
      </c>
      <c r="T64" s="17">
        <f t="shared" si="35"/>
        <v>0</v>
      </c>
      <c r="U64" s="17">
        <f t="shared" si="35"/>
        <v>0</v>
      </c>
      <c r="V64" s="17">
        <f t="shared" si="35"/>
        <v>0</v>
      </c>
      <c r="W64" s="17">
        <f t="shared" si="35"/>
        <v>0</v>
      </c>
      <c r="X64" s="17">
        <f t="shared" si="35"/>
        <v>0</v>
      </c>
      <c r="Y64" s="17">
        <f t="shared" si="35"/>
        <v>0</v>
      </c>
      <c r="Z64" s="17">
        <f t="shared" si="35"/>
        <v>0</v>
      </c>
      <c r="AA64" s="17">
        <f t="shared" si="35"/>
        <v>0</v>
      </c>
      <c r="AB64" s="17">
        <f t="shared" si="35"/>
        <v>0</v>
      </c>
      <c r="AC64" s="17">
        <f t="shared" si="35"/>
        <v>0</v>
      </c>
      <c r="AD64" s="17">
        <f t="shared" si="35"/>
        <v>0</v>
      </c>
      <c r="AE64" s="17">
        <f t="shared" si="35"/>
        <v>0</v>
      </c>
      <c r="AF64" s="17">
        <f t="shared" si="35"/>
        <v>0</v>
      </c>
      <c r="AG64" s="17">
        <f t="shared" si="35"/>
        <v>0</v>
      </c>
      <c r="AH64" s="17">
        <f t="shared" si="35"/>
        <v>0</v>
      </c>
      <c r="AI64" s="17">
        <f t="shared" si="35"/>
        <v>0</v>
      </c>
      <c r="AJ64" s="17">
        <f t="shared" si="35"/>
        <v>0</v>
      </c>
      <c r="AK64" s="17">
        <f t="shared" si="35"/>
        <v>0</v>
      </c>
      <c r="AL64" s="17">
        <f t="shared" si="35"/>
        <v>0</v>
      </c>
    </row>
    <row r="65" spans="1:38" s="3" customFormat="1" ht="18.95" customHeight="1" x14ac:dyDescent="0.3">
      <c r="A65" s="70" t="s">
        <v>68</v>
      </c>
      <c r="B65" s="16"/>
      <c r="C65" s="17">
        <f>C60+C64</f>
        <v>2514408</v>
      </c>
      <c r="D65" s="28"/>
      <c r="F65" s="17">
        <f>F60+F64</f>
        <v>2480808</v>
      </c>
      <c r="G65" s="17">
        <f t="shared" ref="G65:AL65" si="36">G60+G64</f>
        <v>0</v>
      </c>
      <c r="H65" s="17">
        <f t="shared" si="36"/>
        <v>2480808</v>
      </c>
      <c r="I65" s="17">
        <f t="shared" si="36"/>
        <v>33600</v>
      </c>
      <c r="J65" s="17">
        <f t="shared" si="36"/>
        <v>0</v>
      </c>
      <c r="K65" s="17">
        <f t="shared" si="36"/>
        <v>33600</v>
      </c>
      <c r="L65" s="17">
        <f t="shared" si="36"/>
        <v>0</v>
      </c>
      <c r="M65" s="17">
        <f t="shared" si="36"/>
        <v>0</v>
      </c>
      <c r="N65" s="17">
        <f t="shared" si="36"/>
        <v>0</v>
      </c>
      <c r="O65" s="17">
        <f t="shared" si="36"/>
        <v>0</v>
      </c>
      <c r="P65" s="17">
        <f t="shared" si="36"/>
        <v>0</v>
      </c>
      <c r="Q65" s="17">
        <f t="shared" si="36"/>
        <v>0</v>
      </c>
      <c r="R65" s="17">
        <f t="shared" si="36"/>
        <v>0</v>
      </c>
      <c r="S65" s="17">
        <f t="shared" si="36"/>
        <v>0</v>
      </c>
      <c r="T65" s="17">
        <f t="shared" si="36"/>
        <v>0</v>
      </c>
      <c r="U65" s="17">
        <f t="shared" si="36"/>
        <v>0</v>
      </c>
      <c r="V65" s="17">
        <f t="shared" si="36"/>
        <v>0</v>
      </c>
      <c r="W65" s="17">
        <f t="shared" si="36"/>
        <v>0</v>
      </c>
      <c r="X65" s="17">
        <f t="shared" si="36"/>
        <v>0</v>
      </c>
      <c r="Y65" s="17">
        <f t="shared" si="36"/>
        <v>0</v>
      </c>
      <c r="Z65" s="17">
        <f t="shared" si="36"/>
        <v>0</v>
      </c>
      <c r="AA65" s="17">
        <f t="shared" si="36"/>
        <v>0</v>
      </c>
      <c r="AB65" s="17">
        <f t="shared" si="36"/>
        <v>0</v>
      </c>
      <c r="AC65" s="17">
        <f t="shared" si="36"/>
        <v>0</v>
      </c>
      <c r="AD65" s="17">
        <f t="shared" si="36"/>
        <v>0</v>
      </c>
      <c r="AE65" s="17">
        <f t="shared" si="36"/>
        <v>0</v>
      </c>
      <c r="AF65" s="17">
        <f t="shared" si="36"/>
        <v>0</v>
      </c>
      <c r="AG65" s="17">
        <f t="shared" si="36"/>
        <v>0</v>
      </c>
      <c r="AH65" s="17">
        <f t="shared" si="36"/>
        <v>0</v>
      </c>
      <c r="AI65" s="17">
        <f t="shared" si="36"/>
        <v>0</v>
      </c>
      <c r="AJ65" s="17">
        <f t="shared" si="36"/>
        <v>0</v>
      </c>
      <c r="AK65" s="17">
        <f t="shared" si="36"/>
        <v>0</v>
      </c>
      <c r="AL65" s="17">
        <f t="shared" si="36"/>
        <v>0</v>
      </c>
    </row>
    <row r="66" spans="1:38" s="3" customFormat="1" ht="18.95" customHeight="1" x14ac:dyDescent="0.3">
      <c r="A66" s="15"/>
      <c r="B66" s="16"/>
      <c r="C66" s="28"/>
      <c r="D66" s="28"/>
      <c r="F66" s="65"/>
      <c r="G66" s="65"/>
      <c r="H66" s="65"/>
      <c r="I66" s="66"/>
      <c r="J66" s="66"/>
      <c r="K66" s="66"/>
      <c r="L66" s="65"/>
      <c r="M66" s="65"/>
      <c r="N66" s="65"/>
      <c r="O66" s="66"/>
      <c r="P66" s="66"/>
      <c r="Q66" s="66"/>
      <c r="R66" s="65"/>
      <c r="S66" s="65"/>
      <c r="T66" s="65"/>
      <c r="U66" s="66"/>
      <c r="V66" s="66"/>
      <c r="W66" s="66"/>
      <c r="X66" s="65"/>
      <c r="Y66" s="65"/>
      <c r="Z66" s="65"/>
      <c r="AA66" s="66"/>
      <c r="AB66" s="66"/>
      <c r="AC66" s="66"/>
      <c r="AD66" s="65"/>
      <c r="AE66" s="65"/>
      <c r="AF66" s="65"/>
      <c r="AG66" s="66"/>
      <c r="AH66" s="66"/>
      <c r="AI66" s="66"/>
      <c r="AJ66" s="65"/>
      <c r="AK66" s="65"/>
      <c r="AL66" s="65"/>
    </row>
    <row r="67" spans="1:38" s="3" customFormat="1" ht="18.95" customHeight="1" x14ac:dyDescent="0.3">
      <c r="A67" s="15"/>
      <c r="B67" s="16"/>
      <c r="C67" s="28"/>
      <c r="D67" s="28"/>
      <c r="F67" s="65"/>
      <c r="G67" s="65"/>
      <c r="H67" s="65"/>
      <c r="I67" s="66"/>
      <c r="J67" s="66"/>
      <c r="K67" s="66"/>
      <c r="L67" s="65"/>
      <c r="M67" s="65"/>
      <c r="N67" s="65"/>
      <c r="O67" s="66"/>
      <c r="P67" s="66"/>
      <c r="Q67" s="66"/>
      <c r="R67" s="65"/>
      <c r="S67" s="65"/>
      <c r="T67" s="65"/>
      <c r="U67" s="66"/>
      <c r="V67" s="66"/>
      <c r="W67" s="66"/>
      <c r="X67" s="65"/>
      <c r="Y67" s="65"/>
      <c r="Z67" s="65"/>
      <c r="AA67" s="66"/>
      <c r="AB67" s="66"/>
      <c r="AC67" s="66"/>
      <c r="AD67" s="65"/>
      <c r="AE67" s="65"/>
      <c r="AF67" s="65"/>
      <c r="AG67" s="66"/>
      <c r="AH67" s="66"/>
      <c r="AI67" s="66"/>
      <c r="AJ67" s="65"/>
      <c r="AK67" s="65"/>
      <c r="AL67" s="65"/>
    </row>
    <row r="68" spans="1:38" s="3" customFormat="1" ht="17.25" x14ac:dyDescent="0.3">
      <c r="A68" s="70" t="s">
        <v>74</v>
      </c>
      <c r="B68" s="16"/>
      <c r="C68" s="43"/>
      <c r="D68" s="44"/>
      <c r="F68" s="65"/>
      <c r="G68" s="65"/>
      <c r="H68" s="65"/>
      <c r="I68" s="66"/>
      <c r="J68" s="66"/>
      <c r="K68" s="66"/>
      <c r="L68" s="65"/>
      <c r="M68" s="65"/>
      <c r="N68" s="65"/>
      <c r="O68" s="66"/>
      <c r="P68" s="66"/>
      <c r="Q68" s="66"/>
      <c r="R68" s="65"/>
      <c r="S68" s="65"/>
      <c r="T68" s="65"/>
      <c r="U68" s="66"/>
      <c r="V68" s="66"/>
      <c r="W68" s="66"/>
      <c r="X68" s="65"/>
      <c r="Y68" s="65"/>
      <c r="Z68" s="65"/>
      <c r="AA68" s="66"/>
      <c r="AB68" s="66"/>
      <c r="AC68" s="66"/>
      <c r="AD68" s="65"/>
      <c r="AE68" s="65"/>
      <c r="AF68" s="65"/>
      <c r="AG68" s="66"/>
      <c r="AH68" s="66"/>
      <c r="AI68" s="66"/>
      <c r="AJ68" s="65"/>
      <c r="AK68" s="65"/>
      <c r="AL68" s="65"/>
    </row>
    <row r="69" spans="1:38" s="3" customFormat="1" ht="17.25" x14ac:dyDescent="0.3">
      <c r="A69" s="15" t="s">
        <v>21</v>
      </c>
      <c r="B69" s="16"/>
      <c r="C69" s="14">
        <f t="shared" ref="C69:C72" si="37">H69+K69+N69+Q69+T69+W69+Z69+AC69+AF69+AI69+AL69</f>
        <v>0</v>
      </c>
      <c r="D69" s="45"/>
      <c r="F69" s="65"/>
      <c r="G69" s="65"/>
      <c r="H69" s="65">
        <f t="shared" si="22"/>
        <v>0</v>
      </c>
      <c r="I69" s="66"/>
      <c r="J69" s="66"/>
      <c r="K69" s="66">
        <f t="shared" si="23"/>
        <v>0</v>
      </c>
      <c r="L69" s="65"/>
      <c r="M69" s="65"/>
      <c r="N69" s="65">
        <f t="shared" si="24"/>
        <v>0</v>
      </c>
      <c r="O69" s="66"/>
      <c r="P69" s="66"/>
      <c r="Q69" s="66">
        <f t="shared" si="25"/>
        <v>0</v>
      </c>
      <c r="R69" s="65"/>
      <c r="S69" s="65"/>
      <c r="T69" s="65">
        <f t="shared" si="26"/>
        <v>0</v>
      </c>
      <c r="U69" s="66"/>
      <c r="V69" s="66"/>
      <c r="W69" s="66">
        <f t="shared" si="27"/>
        <v>0</v>
      </c>
      <c r="X69" s="65"/>
      <c r="Y69" s="65"/>
      <c r="Z69" s="65">
        <f t="shared" si="28"/>
        <v>0</v>
      </c>
      <c r="AA69" s="66"/>
      <c r="AB69" s="66"/>
      <c r="AC69" s="66">
        <f t="shared" si="29"/>
        <v>0</v>
      </c>
      <c r="AD69" s="65"/>
      <c r="AE69" s="65"/>
      <c r="AF69" s="65">
        <f t="shared" si="30"/>
        <v>0</v>
      </c>
      <c r="AG69" s="66"/>
      <c r="AH69" s="66"/>
      <c r="AI69" s="66">
        <f t="shared" si="31"/>
        <v>0</v>
      </c>
      <c r="AJ69" s="65"/>
      <c r="AK69" s="65"/>
      <c r="AL69" s="65">
        <f t="shared" si="32"/>
        <v>0</v>
      </c>
    </row>
    <row r="70" spans="1:38" s="3" customFormat="1" ht="17.25" x14ac:dyDescent="0.3">
      <c r="A70" s="15" t="s">
        <v>22</v>
      </c>
      <c r="B70" s="16"/>
      <c r="C70" s="14">
        <f t="shared" si="37"/>
        <v>103201.9</v>
      </c>
      <c r="D70" s="24"/>
      <c r="F70" s="65"/>
      <c r="G70" s="65"/>
      <c r="H70" s="65">
        <f t="shared" si="22"/>
        <v>0</v>
      </c>
      <c r="I70" s="66">
        <v>101601.9</v>
      </c>
      <c r="J70" s="66"/>
      <c r="K70" s="66">
        <f t="shared" si="23"/>
        <v>101601.9</v>
      </c>
      <c r="L70" s="65">
        <v>400</v>
      </c>
      <c r="M70" s="65"/>
      <c r="N70" s="65">
        <f t="shared" si="24"/>
        <v>400</v>
      </c>
      <c r="O70" s="66"/>
      <c r="P70" s="66"/>
      <c r="Q70" s="66">
        <f t="shared" si="25"/>
        <v>0</v>
      </c>
      <c r="R70" s="65">
        <v>1200</v>
      </c>
      <c r="S70" s="65"/>
      <c r="T70" s="65">
        <f t="shared" si="26"/>
        <v>1200</v>
      </c>
      <c r="U70" s="66"/>
      <c r="V70" s="66"/>
      <c r="W70" s="66">
        <f t="shared" si="27"/>
        <v>0</v>
      </c>
      <c r="X70" s="65"/>
      <c r="Y70" s="65"/>
      <c r="Z70" s="65">
        <f t="shared" si="28"/>
        <v>0</v>
      </c>
      <c r="AA70" s="66"/>
      <c r="AB70" s="66"/>
      <c r="AC70" s="66">
        <f t="shared" si="29"/>
        <v>0</v>
      </c>
      <c r="AD70" s="65"/>
      <c r="AE70" s="65"/>
      <c r="AF70" s="65">
        <f t="shared" si="30"/>
        <v>0</v>
      </c>
      <c r="AG70" s="66"/>
      <c r="AH70" s="66"/>
      <c r="AI70" s="66">
        <f t="shared" si="31"/>
        <v>0</v>
      </c>
      <c r="AJ70" s="65"/>
      <c r="AK70" s="65"/>
      <c r="AL70" s="65">
        <f t="shared" si="32"/>
        <v>0</v>
      </c>
    </row>
    <row r="71" spans="1:38" s="3" customFormat="1" ht="17.25" x14ac:dyDescent="0.3">
      <c r="A71" s="15" t="s">
        <v>23</v>
      </c>
      <c r="B71" s="16"/>
      <c r="C71" s="14">
        <f t="shared" si="37"/>
        <v>56325.4</v>
      </c>
      <c r="D71" s="24"/>
      <c r="F71" s="65">
        <v>26225.4</v>
      </c>
      <c r="G71" s="65"/>
      <c r="H71" s="65">
        <f t="shared" si="22"/>
        <v>26225.4</v>
      </c>
      <c r="I71" s="66"/>
      <c r="J71" s="66"/>
      <c r="K71" s="66">
        <f t="shared" si="23"/>
        <v>0</v>
      </c>
      <c r="L71" s="65"/>
      <c r="M71" s="65"/>
      <c r="N71" s="65">
        <f t="shared" si="24"/>
        <v>0</v>
      </c>
      <c r="O71" s="66">
        <v>100100</v>
      </c>
      <c r="P71" s="76">
        <v>-70000</v>
      </c>
      <c r="Q71" s="66">
        <f t="shared" si="25"/>
        <v>30100</v>
      </c>
      <c r="R71" s="65"/>
      <c r="S71" s="65"/>
      <c r="T71" s="65">
        <f t="shared" si="26"/>
        <v>0</v>
      </c>
      <c r="U71" s="66"/>
      <c r="V71" s="66"/>
      <c r="W71" s="66">
        <f t="shared" si="27"/>
        <v>0</v>
      </c>
      <c r="X71" s="65"/>
      <c r="Y71" s="65"/>
      <c r="Z71" s="65">
        <f t="shared" si="28"/>
        <v>0</v>
      </c>
      <c r="AA71" s="66"/>
      <c r="AB71" s="66"/>
      <c r="AC71" s="66">
        <f t="shared" si="29"/>
        <v>0</v>
      </c>
      <c r="AD71" s="65"/>
      <c r="AE71" s="65"/>
      <c r="AF71" s="65">
        <f t="shared" si="30"/>
        <v>0</v>
      </c>
      <c r="AG71" s="66"/>
      <c r="AH71" s="66"/>
      <c r="AI71" s="66">
        <f t="shared" si="31"/>
        <v>0</v>
      </c>
      <c r="AJ71" s="65"/>
      <c r="AK71" s="65"/>
      <c r="AL71" s="65">
        <f t="shared" si="32"/>
        <v>0</v>
      </c>
    </row>
    <row r="72" spans="1:38" s="3" customFormat="1" ht="17.25" x14ac:dyDescent="0.3">
      <c r="A72" s="15" t="s">
        <v>24</v>
      </c>
      <c r="B72" s="16"/>
      <c r="C72" s="14">
        <f t="shared" si="37"/>
        <v>1447326.37</v>
      </c>
      <c r="D72" s="24"/>
      <c r="F72" s="65">
        <v>3752.55</v>
      </c>
      <c r="G72" s="65"/>
      <c r="H72" s="65">
        <f t="shared" si="22"/>
        <v>3752.55</v>
      </c>
      <c r="I72" s="66">
        <v>156755.22</v>
      </c>
      <c r="J72" s="66"/>
      <c r="K72" s="66">
        <f t="shared" si="23"/>
        <v>156755.22</v>
      </c>
      <c r="L72" s="65">
        <v>858913.3</v>
      </c>
      <c r="M72" s="65"/>
      <c r="N72" s="65">
        <f t="shared" si="24"/>
        <v>858913.3</v>
      </c>
      <c r="O72" s="66">
        <v>247159</v>
      </c>
      <c r="P72" s="66"/>
      <c r="Q72" s="66">
        <f t="shared" si="25"/>
        <v>247159</v>
      </c>
      <c r="R72" s="65">
        <v>107072</v>
      </c>
      <c r="S72" s="65"/>
      <c r="T72" s="65">
        <f t="shared" si="26"/>
        <v>107072</v>
      </c>
      <c r="U72" s="66">
        <v>25544.95</v>
      </c>
      <c r="V72" s="66"/>
      <c r="W72" s="66">
        <f t="shared" si="27"/>
        <v>25544.95</v>
      </c>
      <c r="X72" s="65">
        <v>38107.79</v>
      </c>
      <c r="Y72" s="65"/>
      <c r="Z72" s="65">
        <f t="shared" si="28"/>
        <v>38107.79</v>
      </c>
      <c r="AA72" s="66">
        <v>2075.19</v>
      </c>
      <c r="AB72" s="66"/>
      <c r="AC72" s="66">
        <f t="shared" si="29"/>
        <v>2075.19</v>
      </c>
      <c r="AD72" s="65">
        <v>7946.37</v>
      </c>
      <c r="AE72" s="65"/>
      <c r="AF72" s="65">
        <f t="shared" si="30"/>
        <v>7946.37</v>
      </c>
      <c r="AG72" s="66"/>
      <c r="AH72" s="66"/>
      <c r="AI72" s="66">
        <f t="shared" si="31"/>
        <v>0</v>
      </c>
      <c r="AJ72" s="65"/>
      <c r="AK72" s="65"/>
      <c r="AL72" s="65">
        <f t="shared" si="32"/>
        <v>0</v>
      </c>
    </row>
    <row r="73" spans="1:38" s="3" customFormat="1" ht="18.95" customHeight="1" x14ac:dyDescent="0.3">
      <c r="A73" s="4" t="s">
        <v>25</v>
      </c>
      <c r="B73" s="16"/>
      <c r="C73" s="17">
        <f>SUM(C69:C72)</f>
        <v>1606853.6700000002</v>
      </c>
      <c r="D73" s="28"/>
      <c r="F73" s="17">
        <f>SUM(F69:F72)</f>
        <v>29977.95</v>
      </c>
      <c r="G73" s="17">
        <f t="shared" ref="G73:AL73" si="38">SUM(G69:G72)</f>
        <v>0</v>
      </c>
      <c r="H73" s="17">
        <f t="shared" si="38"/>
        <v>29977.95</v>
      </c>
      <c r="I73" s="17">
        <f t="shared" si="38"/>
        <v>258357.12</v>
      </c>
      <c r="J73" s="17">
        <f t="shared" si="38"/>
        <v>0</v>
      </c>
      <c r="K73" s="17">
        <f t="shared" si="38"/>
        <v>258357.12</v>
      </c>
      <c r="L73" s="17">
        <f t="shared" si="38"/>
        <v>859313.3</v>
      </c>
      <c r="M73" s="17">
        <f t="shared" si="38"/>
        <v>0</v>
      </c>
      <c r="N73" s="17">
        <f t="shared" si="38"/>
        <v>859313.3</v>
      </c>
      <c r="O73" s="17">
        <f t="shared" si="38"/>
        <v>347259</v>
      </c>
      <c r="P73" s="17">
        <f t="shared" si="38"/>
        <v>-70000</v>
      </c>
      <c r="Q73" s="17">
        <f t="shared" si="38"/>
        <v>277259</v>
      </c>
      <c r="R73" s="17">
        <f t="shared" si="38"/>
        <v>108272</v>
      </c>
      <c r="S73" s="17">
        <f t="shared" si="38"/>
        <v>0</v>
      </c>
      <c r="T73" s="17">
        <f t="shared" si="38"/>
        <v>108272</v>
      </c>
      <c r="U73" s="17">
        <f t="shared" si="38"/>
        <v>25544.95</v>
      </c>
      <c r="V73" s="17">
        <f t="shared" si="38"/>
        <v>0</v>
      </c>
      <c r="W73" s="17">
        <f t="shared" si="38"/>
        <v>25544.95</v>
      </c>
      <c r="X73" s="17">
        <f t="shared" si="38"/>
        <v>38107.79</v>
      </c>
      <c r="Y73" s="17">
        <f t="shared" si="38"/>
        <v>0</v>
      </c>
      <c r="Z73" s="17">
        <f t="shared" si="38"/>
        <v>38107.79</v>
      </c>
      <c r="AA73" s="17">
        <f t="shared" si="38"/>
        <v>2075.19</v>
      </c>
      <c r="AB73" s="17">
        <f t="shared" si="38"/>
        <v>0</v>
      </c>
      <c r="AC73" s="17">
        <f t="shared" si="38"/>
        <v>2075.19</v>
      </c>
      <c r="AD73" s="17">
        <f t="shared" si="38"/>
        <v>7946.37</v>
      </c>
      <c r="AE73" s="17">
        <f t="shared" si="38"/>
        <v>0</v>
      </c>
      <c r="AF73" s="17">
        <f t="shared" si="38"/>
        <v>7946.37</v>
      </c>
      <c r="AG73" s="17">
        <f t="shared" si="38"/>
        <v>0</v>
      </c>
      <c r="AH73" s="17">
        <f t="shared" si="38"/>
        <v>0</v>
      </c>
      <c r="AI73" s="17">
        <f t="shared" si="38"/>
        <v>0</v>
      </c>
      <c r="AJ73" s="17">
        <f t="shared" si="38"/>
        <v>0</v>
      </c>
      <c r="AK73" s="17">
        <f t="shared" si="38"/>
        <v>0</v>
      </c>
      <c r="AL73" s="17">
        <f t="shared" si="38"/>
        <v>0</v>
      </c>
    </row>
    <row r="74" spans="1:38" s="3" customFormat="1" ht="18.95" customHeight="1" thickBot="1" x14ac:dyDescent="0.35">
      <c r="A74" s="70" t="s">
        <v>69</v>
      </c>
      <c r="B74" s="16"/>
      <c r="C74" s="17">
        <f>C65+C73</f>
        <v>4121261.67</v>
      </c>
      <c r="D74" s="28"/>
      <c r="F74" s="17">
        <f>F65+F73</f>
        <v>2510785.9500000002</v>
      </c>
      <c r="G74" s="17">
        <f t="shared" ref="G74:AL74" si="39">G65+G73</f>
        <v>0</v>
      </c>
      <c r="H74" s="17">
        <f t="shared" si="39"/>
        <v>2510785.9500000002</v>
      </c>
      <c r="I74" s="17">
        <f t="shared" si="39"/>
        <v>291957.12</v>
      </c>
      <c r="J74" s="17">
        <f t="shared" si="39"/>
        <v>0</v>
      </c>
      <c r="K74" s="17">
        <f t="shared" si="39"/>
        <v>291957.12</v>
      </c>
      <c r="L74" s="17">
        <f t="shared" si="39"/>
        <v>859313.3</v>
      </c>
      <c r="M74" s="17">
        <f t="shared" si="39"/>
        <v>0</v>
      </c>
      <c r="N74" s="17">
        <f t="shared" si="39"/>
        <v>859313.3</v>
      </c>
      <c r="O74" s="17">
        <f t="shared" si="39"/>
        <v>347259</v>
      </c>
      <c r="P74" s="17">
        <f t="shared" si="39"/>
        <v>-70000</v>
      </c>
      <c r="Q74" s="17">
        <f t="shared" si="39"/>
        <v>277259</v>
      </c>
      <c r="R74" s="17">
        <f t="shared" si="39"/>
        <v>108272</v>
      </c>
      <c r="S74" s="17">
        <f t="shared" si="39"/>
        <v>0</v>
      </c>
      <c r="T74" s="17">
        <f t="shared" si="39"/>
        <v>108272</v>
      </c>
      <c r="U74" s="17">
        <f t="shared" si="39"/>
        <v>25544.95</v>
      </c>
      <c r="V74" s="17">
        <f t="shared" si="39"/>
        <v>0</v>
      </c>
      <c r="W74" s="17">
        <f t="shared" si="39"/>
        <v>25544.95</v>
      </c>
      <c r="X74" s="17">
        <f t="shared" si="39"/>
        <v>38107.79</v>
      </c>
      <c r="Y74" s="17">
        <f t="shared" si="39"/>
        <v>0</v>
      </c>
      <c r="Z74" s="17">
        <f t="shared" si="39"/>
        <v>38107.79</v>
      </c>
      <c r="AA74" s="17">
        <f t="shared" si="39"/>
        <v>2075.19</v>
      </c>
      <c r="AB74" s="17">
        <f t="shared" si="39"/>
        <v>0</v>
      </c>
      <c r="AC74" s="17">
        <f t="shared" si="39"/>
        <v>2075.19</v>
      </c>
      <c r="AD74" s="17">
        <f t="shared" si="39"/>
        <v>7946.37</v>
      </c>
      <c r="AE74" s="17">
        <f t="shared" si="39"/>
        <v>0</v>
      </c>
      <c r="AF74" s="17">
        <f t="shared" si="39"/>
        <v>7946.37</v>
      </c>
      <c r="AG74" s="17">
        <f t="shared" si="39"/>
        <v>0</v>
      </c>
      <c r="AH74" s="17">
        <f t="shared" si="39"/>
        <v>0</v>
      </c>
      <c r="AI74" s="17">
        <f t="shared" si="39"/>
        <v>0</v>
      </c>
      <c r="AJ74" s="17">
        <f t="shared" si="39"/>
        <v>0</v>
      </c>
      <c r="AK74" s="17">
        <f t="shared" si="39"/>
        <v>0</v>
      </c>
      <c r="AL74" s="17">
        <f t="shared" si="39"/>
        <v>0</v>
      </c>
    </row>
    <row r="75" spans="1:38" s="3" customFormat="1" ht="18" thickTop="1" x14ac:dyDescent="0.3">
      <c r="A75" s="15" t="s">
        <v>1</v>
      </c>
      <c r="B75" s="16"/>
      <c r="C75" s="46"/>
      <c r="D75" s="24"/>
      <c r="F75" s="65"/>
      <c r="G75" s="65"/>
      <c r="H75" s="65"/>
      <c r="I75" s="66"/>
      <c r="J75" s="66"/>
      <c r="K75" s="66"/>
      <c r="L75" s="65"/>
      <c r="M75" s="65"/>
      <c r="N75" s="65"/>
      <c r="O75" s="66"/>
      <c r="P75" s="66"/>
      <c r="Q75" s="66"/>
      <c r="R75" s="65"/>
      <c r="S75" s="65"/>
      <c r="T75" s="65"/>
      <c r="U75" s="66"/>
      <c r="V75" s="66"/>
      <c r="W75" s="66"/>
      <c r="X75" s="65"/>
      <c r="Y75" s="65"/>
      <c r="Z75" s="65"/>
      <c r="AA75" s="66"/>
      <c r="AB75" s="66"/>
      <c r="AC75" s="66"/>
      <c r="AD75" s="65"/>
      <c r="AE75" s="65"/>
      <c r="AF75" s="65"/>
      <c r="AG75" s="66"/>
      <c r="AH75" s="66"/>
      <c r="AI75" s="66"/>
      <c r="AJ75" s="65"/>
      <c r="AK75" s="65"/>
      <c r="AL75" s="65"/>
    </row>
    <row r="76" spans="1:38" s="3" customFormat="1" ht="17.25" x14ac:dyDescent="0.3">
      <c r="A76" s="4" t="s">
        <v>26</v>
      </c>
      <c r="B76" s="16"/>
      <c r="C76" s="19"/>
      <c r="D76" s="24"/>
      <c r="F76" s="65"/>
      <c r="G76" s="65"/>
      <c r="H76" s="65"/>
      <c r="I76" s="66"/>
      <c r="J76" s="66"/>
      <c r="K76" s="66"/>
      <c r="L76" s="65"/>
      <c r="M76" s="65"/>
      <c r="N76" s="65"/>
      <c r="O76" s="66"/>
      <c r="P76" s="66"/>
      <c r="Q76" s="66"/>
      <c r="R76" s="65"/>
      <c r="S76" s="65"/>
      <c r="T76" s="65"/>
      <c r="U76" s="66"/>
      <c r="V76" s="66"/>
      <c r="W76" s="66"/>
      <c r="X76" s="65"/>
      <c r="Y76" s="65"/>
      <c r="Z76" s="65"/>
      <c r="AA76" s="66"/>
      <c r="AB76" s="66"/>
      <c r="AC76" s="66"/>
      <c r="AD76" s="65"/>
      <c r="AE76" s="65"/>
      <c r="AF76" s="65"/>
      <c r="AG76" s="66"/>
      <c r="AH76" s="66"/>
      <c r="AI76" s="66"/>
      <c r="AJ76" s="65"/>
      <c r="AK76" s="65"/>
      <c r="AL76" s="65"/>
    </row>
    <row r="77" spans="1:38" s="3" customFormat="1" ht="6.95" customHeight="1" x14ac:dyDescent="0.3">
      <c r="A77" s="4"/>
      <c r="B77" s="16"/>
      <c r="C77" s="19"/>
      <c r="D77" s="24"/>
      <c r="F77" s="65"/>
      <c r="G77" s="65"/>
      <c r="H77" s="65"/>
      <c r="I77" s="66"/>
      <c r="J77" s="66"/>
      <c r="K77" s="66"/>
      <c r="L77" s="65"/>
      <c r="M77" s="65"/>
      <c r="N77" s="65"/>
      <c r="O77" s="66"/>
      <c r="P77" s="66"/>
      <c r="Q77" s="66"/>
      <c r="R77" s="65"/>
      <c r="S77" s="65"/>
      <c r="T77" s="65"/>
      <c r="U77" s="66"/>
      <c r="V77" s="66"/>
      <c r="W77" s="66"/>
      <c r="X77" s="65"/>
      <c r="Y77" s="65"/>
      <c r="Z77" s="65"/>
      <c r="AA77" s="66"/>
      <c r="AB77" s="66"/>
      <c r="AC77" s="66"/>
      <c r="AD77" s="65"/>
      <c r="AE77" s="65"/>
      <c r="AF77" s="65"/>
      <c r="AG77" s="66"/>
      <c r="AH77" s="66"/>
      <c r="AI77" s="66"/>
      <c r="AJ77" s="65"/>
      <c r="AK77" s="65"/>
      <c r="AL77" s="65"/>
    </row>
    <row r="78" spans="1:38" s="3" customFormat="1" ht="17.25" x14ac:dyDescent="0.3">
      <c r="A78" s="4" t="s">
        <v>27</v>
      </c>
      <c r="B78" s="25"/>
      <c r="C78" s="47"/>
      <c r="D78" s="48"/>
      <c r="F78" s="65"/>
      <c r="G78" s="65"/>
      <c r="H78" s="65"/>
      <c r="I78" s="66"/>
      <c r="J78" s="66"/>
      <c r="K78" s="66"/>
      <c r="L78" s="65"/>
      <c r="M78" s="65"/>
      <c r="N78" s="65"/>
      <c r="O78" s="66"/>
      <c r="P78" s="66"/>
      <c r="Q78" s="66"/>
      <c r="R78" s="65"/>
      <c r="S78" s="65"/>
      <c r="T78" s="65"/>
      <c r="U78" s="66"/>
      <c r="V78" s="66"/>
      <c r="W78" s="66"/>
      <c r="X78" s="65"/>
      <c r="Y78" s="65"/>
      <c r="Z78" s="65"/>
      <c r="AA78" s="66"/>
      <c r="AB78" s="66"/>
      <c r="AC78" s="66"/>
      <c r="AD78" s="65"/>
      <c r="AE78" s="65"/>
      <c r="AF78" s="65"/>
      <c r="AG78" s="66"/>
      <c r="AH78" s="66"/>
      <c r="AI78" s="66"/>
      <c r="AJ78" s="65"/>
      <c r="AK78" s="65"/>
      <c r="AL78" s="65"/>
    </row>
    <row r="79" spans="1:38" s="3" customFormat="1" ht="17.25" hidden="1" x14ac:dyDescent="0.3">
      <c r="A79" s="4" t="s">
        <v>28</v>
      </c>
      <c r="B79" s="16"/>
      <c r="C79" s="19"/>
      <c r="D79" s="24"/>
      <c r="F79" s="65"/>
      <c r="G79" s="65"/>
      <c r="H79" s="65"/>
      <c r="I79" s="66"/>
      <c r="J79" s="66"/>
      <c r="K79" s="66"/>
      <c r="L79" s="65"/>
      <c r="M79" s="65"/>
      <c r="N79" s="65"/>
      <c r="O79" s="66"/>
      <c r="P79" s="66"/>
      <c r="Q79" s="66"/>
      <c r="R79" s="65"/>
      <c r="S79" s="65"/>
      <c r="T79" s="65"/>
      <c r="U79" s="66"/>
      <c r="V79" s="66"/>
      <c r="W79" s="66"/>
      <c r="X79" s="65"/>
      <c r="Y79" s="65"/>
      <c r="Z79" s="65"/>
      <c r="AA79" s="66"/>
      <c r="AB79" s="66"/>
      <c r="AC79" s="66"/>
      <c r="AD79" s="65"/>
      <c r="AE79" s="65"/>
      <c r="AF79" s="65"/>
      <c r="AG79" s="66"/>
      <c r="AH79" s="66"/>
      <c r="AI79" s="66"/>
      <c r="AJ79" s="65"/>
      <c r="AK79" s="65"/>
      <c r="AL79" s="65"/>
    </row>
    <row r="80" spans="1:38" s="3" customFormat="1" ht="17.25" hidden="1" x14ac:dyDescent="0.3">
      <c r="A80" s="15" t="s">
        <v>29</v>
      </c>
      <c r="B80" s="16"/>
      <c r="C80" s="19">
        <v>0</v>
      </c>
      <c r="D80" s="24"/>
      <c r="F80" s="65"/>
      <c r="G80" s="65"/>
      <c r="H80" s="65"/>
      <c r="I80" s="66"/>
      <c r="J80" s="66"/>
      <c r="K80" s="66"/>
      <c r="L80" s="65"/>
      <c r="M80" s="65"/>
      <c r="N80" s="65"/>
      <c r="O80" s="66"/>
      <c r="P80" s="66"/>
      <c r="Q80" s="66"/>
      <c r="R80" s="65"/>
      <c r="S80" s="65"/>
      <c r="T80" s="65"/>
      <c r="U80" s="66"/>
      <c r="V80" s="66"/>
      <c r="W80" s="66"/>
      <c r="X80" s="65"/>
      <c r="Y80" s="65"/>
      <c r="Z80" s="65"/>
      <c r="AA80" s="66"/>
      <c r="AB80" s="66"/>
      <c r="AC80" s="66"/>
      <c r="AD80" s="65"/>
      <c r="AE80" s="65"/>
      <c r="AF80" s="65"/>
      <c r="AG80" s="66"/>
      <c r="AH80" s="66"/>
      <c r="AI80" s="66"/>
      <c r="AJ80" s="65"/>
      <c r="AK80" s="65"/>
      <c r="AL80" s="65"/>
    </row>
    <row r="81" spans="1:38" s="3" customFormat="1" ht="17.25" hidden="1" x14ac:dyDescent="0.3">
      <c r="A81" s="4" t="s">
        <v>30</v>
      </c>
      <c r="B81" s="16"/>
      <c r="C81" s="18">
        <f>C80</f>
        <v>0</v>
      </c>
      <c r="D81" s="24"/>
      <c r="F81" s="65"/>
      <c r="G81" s="65"/>
      <c r="H81" s="65"/>
      <c r="I81" s="66"/>
      <c r="J81" s="66"/>
      <c r="K81" s="66"/>
      <c r="L81" s="65"/>
      <c r="M81" s="65"/>
      <c r="N81" s="65"/>
      <c r="O81" s="66"/>
      <c r="P81" s="66"/>
      <c r="Q81" s="66"/>
      <c r="R81" s="65"/>
      <c r="S81" s="65"/>
      <c r="T81" s="65"/>
      <c r="U81" s="66"/>
      <c r="V81" s="66"/>
      <c r="W81" s="66"/>
      <c r="X81" s="65"/>
      <c r="Y81" s="65"/>
      <c r="Z81" s="65"/>
      <c r="AA81" s="66"/>
      <c r="AB81" s="66"/>
      <c r="AC81" s="66"/>
      <c r="AD81" s="65"/>
      <c r="AE81" s="65"/>
      <c r="AF81" s="65"/>
      <c r="AG81" s="66"/>
      <c r="AH81" s="66"/>
      <c r="AI81" s="66"/>
      <c r="AJ81" s="65"/>
      <c r="AK81" s="65"/>
      <c r="AL81" s="65"/>
    </row>
    <row r="82" spans="1:38" s="3" customFormat="1" ht="9.9499999999999993" customHeight="1" x14ac:dyDescent="0.3">
      <c r="A82" s="15"/>
      <c r="B82" s="16"/>
      <c r="C82" s="19"/>
      <c r="D82" s="24"/>
      <c r="F82" s="65"/>
      <c r="G82" s="65"/>
      <c r="H82" s="65"/>
      <c r="I82" s="66"/>
      <c r="J82" s="66"/>
      <c r="K82" s="66"/>
      <c r="L82" s="65"/>
      <c r="M82" s="65"/>
      <c r="N82" s="65"/>
      <c r="O82" s="66"/>
      <c r="P82" s="66"/>
      <c r="Q82" s="66"/>
      <c r="R82" s="65"/>
      <c r="S82" s="65"/>
      <c r="T82" s="65"/>
      <c r="U82" s="66"/>
      <c r="V82" s="66"/>
      <c r="W82" s="66"/>
      <c r="X82" s="65"/>
      <c r="Y82" s="65"/>
      <c r="Z82" s="65"/>
      <c r="AA82" s="66"/>
      <c r="AB82" s="66"/>
      <c r="AC82" s="66"/>
      <c r="AD82" s="65"/>
      <c r="AE82" s="65"/>
      <c r="AF82" s="65"/>
      <c r="AG82" s="66"/>
      <c r="AH82" s="66"/>
      <c r="AI82" s="66"/>
      <c r="AJ82" s="65"/>
      <c r="AK82" s="65"/>
      <c r="AL82" s="65"/>
    </row>
    <row r="83" spans="1:38" s="3" customFormat="1" ht="17.25" x14ac:dyDescent="0.3">
      <c r="A83" s="15" t="s">
        <v>31</v>
      </c>
      <c r="B83" s="16"/>
      <c r="C83" s="14">
        <f>H83+K83+N83+Q83+T83+W83+Z83+AC83+AF83+AI83+AL83</f>
        <v>2162833.4400000004</v>
      </c>
      <c r="D83" s="24"/>
      <c r="F83" s="65">
        <v>845235.26</v>
      </c>
      <c r="G83" s="65"/>
      <c r="H83" s="65">
        <f t="shared" si="22"/>
        <v>845235.26</v>
      </c>
      <c r="I83" s="66">
        <v>156767.57999999999</v>
      </c>
      <c r="J83" s="66"/>
      <c r="K83" s="66">
        <f t="shared" si="23"/>
        <v>156767.57999999999</v>
      </c>
      <c r="L83" s="65">
        <v>857239.3</v>
      </c>
      <c r="M83" s="65"/>
      <c r="N83" s="65">
        <f t="shared" si="24"/>
        <v>857239.3</v>
      </c>
      <c r="O83" s="66">
        <v>195145</v>
      </c>
      <c r="P83" s="66"/>
      <c r="Q83" s="66">
        <f t="shared" si="25"/>
        <v>195145</v>
      </c>
      <c r="R83" s="65">
        <v>104772</v>
      </c>
      <c r="S83" s="76">
        <v>-70000</v>
      </c>
      <c r="T83" s="65">
        <f t="shared" si="26"/>
        <v>34772</v>
      </c>
      <c r="U83" s="66">
        <v>25544.95</v>
      </c>
      <c r="V83" s="66"/>
      <c r="W83" s="66">
        <f t="shared" si="27"/>
        <v>25544.95</v>
      </c>
      <c r="X83" s="65">
        <v>38107.79</v>
      </c>
      <c r="Y83" s="65"/>
      <c r="Z83" s="65">
        <f t="shared" si="28"/>
        <v>38107.79</v>
      </c>
      <c r="AA83" s="66">
        <v>2075.19</v>
      </c>
      <c r="AB83" s="66"/>
      <c r="AC83" s="66">
        <f t="shared" si="29"/>
        <v>2075.19</v>
      </c>
      <c r="AD83" s="65">
        <v>7946.37</v>
      </c>
      <c r="AE83" s="65"/>
      <c r="AF83" s="65">
        <f t="shared" si="30"/>
        <v>7946.37</v>
      </c>
      <c r="AG83" s="66"/>
      <c r="AH83" s="66"/>
      <c r="AI83" s="66">
        <f t="shared" si="31"/>
        <v>0</v>
      </c>
      <c r="AJ83" s="65"/>
      <c r="AK83" s="65"/>
      <c r="AL83" s="65">
        <f t="shared" si="32"/>
        <v>0</v>
      </c>
    </row>
    <row r="84" spans="1:38" s="3" customFormat="1" ht="18.95" customHeight="1" x14ac:dyDescent="0.3">
      <c r="A84" s="4" t="s">
        <v>32</v>
      </c>
      <c r="B84" s="16"/>
      <c r="C84" s="17">
        <f>C83</f>
        <v>2162833.4400000004</v>
      </c>
      <c r="D84" s="28"/>
      <c r="F84" s="17">
        <f>F83</f>
        <v>845235.26</v>
      </c>
      <c r="G84" s="17">
        <f t="shared" ref="G84:AL84" si="40">G83</f>
        <v>0</v>
      </c>
      <c r="H84" s="17">
        <f t="shared" si="40"/>
        <v>845235.26</v>
      </c>
      <c r="I84" s="17">
        <f t="shared" si="40"/>
        <v>156767.57999999999</v>
      </c>
      <c r="J84" s="17">
        <f t="shared" si="40"/>
        <v>0</v>
      </c>
      <c r="K84" s="17">
        <f t="shared" si="40"/>
        <v>156767.57999999999</v>
      </c>
      <c r="L84" s="17">
        <f t="shared" si="40"/>
        <v>857239.3</v>
      </c>
      <c r="M84" s="17">
        <f t="shared" si="40"/>
        <v>0</v>
      </c>
      <c r="N84" s="17">
        <f t="shared" si="40"/>
        <v>857239.3</v>
      </c>
      <c r="O84" s="17">
        <f t="shared" si="40"/>
        <v>195145</v>
      </c>
      <c r="P84" s="17">
        <f t="shared" si="40"/>
        <v>0</v>
      </c>
      <c r="Q84" s="17">
        <f t="shared" si="40"/>
        <v>195145</v>
      </c>
      <c r="R84" s="17">
        <f t="shared" si="40"/>
        <v>104772</v>
      </c>
      <c r="S84" s="17">
        <f t="shared" si="40"/>
        <v>-70000</v>
      </c>
      <c r="T84" s="17">
        <f t="shared" si="40"/>
        <v>34772</v>
      </c>
      <c r="U84" s="17">
        <f t="shared" si="40"/>
        <v>25544.95</v>
      </c>
      <c r="V84" s="17">
        <f t="shared" si="40"/>
        <v>0</v>
      </c>
      <c r="W84" s="17">
        <f t="shared" si="40"/>
        <v>25544.95</v>
      </c>
      <c r="X84" s="17">
        <f t="shared" si="40"/>
        <v>38107.79</v>
      </c>
      <c r="Y84" s="17">
        <f t="shared" si="40"/>
        <v>0</v>
      </c>
      <c r="Z84" s="17">
        <f t="shared" si="40"/>
        <v>38107.79</v>
      </c>
      <c r="AA84" s="17">
        <f t="shared" si="40"/>
        <v>2075.19</v>
      </c>
      <c r="AB84" s="17">
        <f t="shared" si="40"/>
        <v>0</v>
      </c>
      <c r="AC84" s="17">
        <f t="shared" si="40"/>
        <v>2075.19</v>
      </c>
      <c r="AD84" s="17">
        <f t="shared" si="40"/>
        <v>7946.37</v>
      </c>
      <c r="AE84" s="17">
        <f t="shared" si="40"/>
        <v>0</v>
      </c>
      <c r="AF84" s="17">
        <f t="shared" si="40"/>
        <v>7946.37</v>
      </c>
      <c r="AG84" s="17">
        <f t="shared" si="40"/>
        <v>0</v>
      </c>
      <c r="AH84" s="17">
        <f t="shared" si="40"/>
        <v>0</v>
      </c>
      <c r="AI84" s="17">
        <f t="shared" si="40"/>
        <v>0</v>
      </c>
      <c r="AJ84" s="17">
        <f t="shared" si="40"/>
        <v>0</v>
      </c>
      <c r="AK84" s="17">
        <f t="shared" si="40"/>
        <v>0</v>
      </c>
      <c r="AL84" s="17">
        <f t="shared" si="40"/>
        <v>0</v>
      </c>
    </row>
    <row r="85" spans="1:38" s="3" customFormat="1" ht="9.9499999999999993" customHeight="1" x14ac:dyDescent="0.3">
      <c r="A85" s="4"/>
      <c r="B85" s="16"/>
      <c r="C85" s="17"/>
      <c r="D85" s="28"/>
      <c r="F85" s="65"/>
      <c r="G85" s="65"/>
      <c r="H85" s="65"/>
      <c r="I85" s="66"/>
      <c r="J85" s="66"/>
      <c r="K85" s="66"/>
      <c r="L85" s="65"/>
      <c r="M85" s="65"/>
      <c r="N85" s="65"/>
      <c r="O85" s="66"/>
      <c r="P85" s="66"/>
      <c r="Q85" s="66"/>
      <c r="R85" s="65"/>
      <c r="S85" s="65"/>
      <c r="T85" s="65"/>
      <c r="U85" s="66"/>
      <c r="V85" s="66"/>
      <c r="W85" s="66"/>
      <c r="X85" s="65"/>
      <c r="Y85" s="65"/>
      <c r="Z85" s="65"/>
      <c r="AA85" s="66"/>
      <c r="AB85" s="66"/>
      <c r="AC85" s="66"/>
      <c r="AD85" s="65"/>
      <c r="AE85" s="65"/>
      <c r="AF85" s="65"/>
      <c r="AG85" s="66"/>
      <c r="AH85" s="66"/>
      <c r="AI85" s="66"/>
      <c r="AJ85" s="65"/>
      <c r="AK85" s="65"/>
      <c r="AL85" s="65"/>
    </row>
    <row r="86" spans="1:38" s="3" customFormat="1" ht="17.25" x14ac:dyDescent="0.3">
      <c r="A86" s="4" t="s">
        <v>33</v>
      </c>
      <c r="B86" s="16"/>
      <c r="C86" s="28"/>
      <c r="D86" s="28"/>
      <c r="F86" s="65"/>
      <c r="G86" s="65"/>
      <c r="H86" s="65">
        <f t="shared" si="22"/>
        <v>0</v>
      </c>
      <c r="I86" s="66"/>
      <c r="J86" s="66"/>
      <c r="K86" s="66">
        <f t="shared" si="23"/>
        <v>0</v>
      </c>
      <c r="L86" s="65"/>
      <c r="M86" s="65"/>
      <c r="N86" s="65">
        <f t="shared" si="24"/>
        <v>0</v>
      </c>
      <c r="O86" s="66"/>
      <c r="P86" s="66"/>
      <c r="Q86" s="66">
        <f t="shared" si="25"/>
        <v>0</v>
      </c>
      <c r="R86" s="65"/>
      <c r="S86" s="65"/>
      <c r="T86" s="65">
        <f t="shared" si="26"/>
        <v>0</v>
      </c>
      <c r="U86" s="66"/>
      <c r="V86" s="66"/>
      <c r="W86" s="66">
        <f t="shared" si="27"/>
        <v>0</v>
      </c>
      <c r="X86" s="65"/>
      <c r="Y86" s="65"/>
      <c r="Z86" s="65">
        <f t="shared" si="28"/>
        <v>0</v>
      </c>
      <c r="AA86" s="66"/>
      <c r="AB86" s="66"/>
      <c r="AC86" s="66">
        <f t="shared" si="29"/>
        <v>0</v>
      </c>
      <c r="AD86" s="65"/>
      <c r="AE86" s="65"/>
      <c r="AF86" s="65">
        <f t="shared" si="30"/>
        <v>0</v>
      </c>
      <c r="AG86" s="66"/>
      <c r="AH86" s="66"/>
      <c r="AI86" s="66">
        <f t="shared" si="31"/>
        <v>0</v>
      </c>
      <c r="AJ86" s="65"/>
      <c r="AK86" s="65"/>
      <c r="AL86" s="65">
        <f t="shared" si="32"/>
        <v>0</v>
      </c>
    </row>
    <row r="87" spans="1:38" s="3" customFormat="1" ht="17.25" x14ac:dyDescent="0.3">
      <c r="A87" s="70" t="s">
        <v>78</v>
      </c>
      <c r="B87" s="16"/>
      <c r="C87" s="21"/>
      <c r="D87" s="28"/>
      <c r="F87" s="65"/>
      <c r="G87" s="65"/>
      <c r="H87" s="65">
        <f t="shared" si="22"/>
        <v>0</v>
      </c>
      <c r="I87" s="66"/>
      <c r="J87" s="66"/>
      <c r="K87" s="66">
        <f t="shared" si="23"/>
        <v>0</v>
      </c>
      <c r="L87" s="65"/>
      <c r="M87" s="65"/>
      <c r="N87" s="65">
        <f t="shared" si="24"/>
        <v>0</v>
      </c>
      <c r="O87" s="66"/>
      <c r="P87" s="66"/>
      <c r="Q87" s="66">
        <f t="shared" si="25"/>
        <v>0</v>
      </c>
      <c r="R87" s="65"/>
      <c r="S87" s="65"/>
      <c r="T87" s="65">
        <f t="shared" si="26"/>
        <v>0</v>
      </c>
      <c r="U87" s="66"/>
      <c r="V87" s="66"/>
      <c r="W87" s="66">
        <f t="shared" si="27"/>
        <v>0</v>
      </c>
      <c r="X87" s="65"/>
      <c r="Y87" s="65"/>
      <c r="Z87" s="65">
        <f t="shared" si="28"/>
        <v>0</v>
      </c>
      <c r="AA87" s="66"/>
      <c r="AB87" s="66"/>
      <c r="AC87" s="66">
        <f t="shared" si="29"/>
        <v>0</v>
      </c>
      <c r="AD87" s="65"/>
      <c r="AE87" s="65"/>
      <c r="AF87" s="65">
        <f t="shared" si="30"/>
        <v>0</v>
      </c>
      <c r="AG87" s="66"/>
      <c r="AH87" s="66"/>
      <c r="AI87" s="66">
        <f t="shared" si="31"/>
        <v>0</v>
      </c>
      <c r="AJ87" s="65"/>
      <c r="AK87" s="65"/>
      <c r="AL87" s="65">
        <f t="shared" si="32"/>
        <v>0</v>
      </c>
    </row>
    <row r="88" spans="1:38" s="3" customFormat="1" ht="17.25" x14ac:dyDescent="0.3">
      <c r="A88" s="15" t="s">
        <v>34</v>
      </c>
      <c r="B88" s="16"/>
      <c r="C88" s="14">
        <f t="shared" ref="C88" si="41">H88+K88+N88+Q88+T88+W88+Z88+AC88+AF88+AI88+AL88</f>
        <v>1542042.75</v>
      </c>
      <c r="D88" s="28"/>
      <c r="F88" s="65">
        <v>1542042.75</v>
      </c>
      <c r="G88" s="65"/>
      <c r="H88" s="65">
        <f t="shared" si="22"/>
        <v>1542042.75</v>
      </c>
      <c r="I88" s="66"/>
      <c r="J88" s="66"/>
      <c r="K88" s="66">
        <f t="shared" si="23"/>
        <v>0</v>
      </c>
      <c r="L88" s="65"/>
      <c r="M88" s="65"/>
      <c r="N88" s="65">
        <f t="shared" si="24"/>
        <v>0</v>
      </c>
      <c r="O88" s="66"/>
      <c r="P88" s="66"/>
      <c r="Q88" s="66">
        <f t="shared" si="25"/>
        <v>0</v>
      </c>
      <c r="R88" s="65"/>
      <c r="S88" s="65"/>
      <c r="T88" s="65">
        <f t="shared" si="26"/>
        <v>0</v>
      </c>
      <c r="U88" s="66"/>
      <c r="V88" s="66"/>
      <c r="W88" s="66">
        <f t="shared" si="27"/>
        <v>0</v>
      </c>
      <c r="X88" s="65"/>
      <c r="Y88" s="65"/>
      <c r="Z88" s="65">
        <f t="shared" si="28"/>
        <v>0</v>
      </c>
      <c r="AA88" s="66"/>
      <c r="AB88" s="66"/>
      <c r="AC88" s="66">
        <f t="shared" si="29"/>
        <v>0</v>
      </c>
      <c r="AD88" s="65"/>
      <c r="AE88" s="65"/>
      <c r="AF88" s="65">
        <f t="shared" si="30"/>
        <v>0</v>
      </c>
      <c r="AG88" s="66"/>
      <c r="AH88" s="66"/>
      <c r="AI88" s="66">
        <f t="shared" si="31"/>
        <v>0</v>
      </c>
      <c r="AJ88" s="65"/>
      <c r="AK88" s="65"/>
      <c r="AL88" s="65">
        <f t="shared" si="32"/>
        <v>0</v>
      </c>
    </row>
    <row r="89" spans="1:38" s="3" customFormat="1" ht="17.25" x14ac:dyDescent="0.3">
      <c r="A89" s="71" t="s">
        <v>77</v>
      </c>
      <c r="B89" s="16"/>
      <c r="C89" s="17">
        <f>C88</f>
        <v>1542042.75</v>
      </c>
      <c r="D89" s="28"/>
      <c r="F89" s="17">
        <f>F88</f>
        <v>1542042.75</v>
      </c>
      <c r="G89" s="17">
        <f t="shared" ref="G89:AL89" si="42">G88</f>
        <v>0</v>
      </c>
      <c r="H89" s="17">
        <f t="shared" si="42"/>
        <v>1542042.75</v>
      </c>
      <c r="I89" s="17">
        <f t="shared" si="42"/>
        <v>0</v>
      </c>
      <c r="J89" s="17">
        <f t="shared" si="42"/>
        <v>0</v>
      </c>
      <c r="K89" s="17">
        <f t="shared" si="42"/>
        <v>0</v>
      </c>
      <c r="L89" s="17">
        <f t="shared" si="42"/>
        <v>0</v>
      </c>
      <c r="M89" s="17">
        <f t="shared" si="42"/>
        <v>0</v>
      </c>
      <c r="N89" s="17">
        <f t="shared" si="42"/>
        <v>0</v>
      </c>
      <c r="O89" s="17">
        <f t="shared" si="42"/>
        <v>0</v>
      </c>
      <c r="P89" s="17">
        <f t="shared" si="42"/>
        <v>0</v>
      </c>
      <c r="Q89" s="17">
        <f t="shared" si="42"/>
        <v>0</v>
      </c>
      <c r="R89" s="17">
        <f t="shared" si="42"/>
        <v>0</v>
      </c>
      <c r="S89" s="17">
        <f t="shared" si="42"/>
        <v>0</v>
      </c>
      <c r="T89" s="17">
        <f t="shared" si="42"/>
        <v>0</v>
      </c>
      <c r="U89" s="17">
        <f t="shared" si="42"/>
        <v>0</v>
      </c>
      <c r="V89" s="17">
        <f t="shared" si="42"/>
        <v>0</v>
      </c>
      <c r="W89" s="17">
        <f t="shared" si="42"/>
        <v>0</v>
      </c>
      <c r="X89" s="17">
        <f t="shared" si="42"/>
        <v>0</v>
      </c>
      <c r="Y89" s="17">
        <f t="shared" si="42"/>
        <v>0</v>
      </c>
      <c r="Z89" s="17">
        <f t="shared" si="42"/>
        <v>0</v>
      </c>
      <c r="AA89" s="17">
        <f t="shared" si="42"/>
        <v>0</v>
      </c>
      <c r="AB89" s="17">
        <f t="shared" si="42"/>
        <v>0</v>
      </c>
      <c r="AC89" s="17">
        <f t="shared" si="42"/>
        <v>0</v>
      </c>
      <c r="AD89" s="17">
        <f t="shared" si="42"/>
        <v>0</v>
      </c>
      <c r="AE89" s="17">
        <f t="shared" si="42"/>
        <v>0</v>
      </c>
      <c r="AF89" s="17">
        <f t="shared" si="42"/>
        <v>0</v>
      </c>
      <c r="AG89" s="17">
        <f t="shared" si="42"/>
        <v>0</v>
      </c>
      <c r="AH89" s="17">
        <f t="shared" si="42"/>
        <v>0</v>
      </c>
      <c r="AI89" s="17">
        <f t="shared" si="42"/>
        <v>0</v>
      </c>
      <c r="AJ89" s="17">
        <f t="shared" si="42"/>
        <v>0</v>
      </c>
      <c r="AK89" s="17">
        <f t="shared" si="42"/>
        <v>0</v>
      </c>
      <c r="AL89" s="17">
        <f t="shared" si="42"/>
        <v>0</v>
      </c>
    </row>
    <row r="90" spans="1:38" s="3" customFormat="1" ht="11.1" customHeight="1" x14ac:dyDescent="0.3">
      <c r="A90" s="15"/>
      <c r="B90" s="16"/>
      <c r="C90" s="24"/>
      <c r="D90" s="24"/>
      <c r="F90" s="65"/>
      <c r="G90" s="65"/>
      <c r="H90" s="65"/>
      <c r="I90" s="66"/>
      <c r="J90" s="66"/>
      <c r="K90" s="66"/>
      <c r="L90" s="65"/>
      <c r="M90" s="65"/>
      <c r="N90" s="65"/>
      <c r="O90" s="66"/>
      <c r="P90" s="66"/>
      <c r="Q90" s="66"/>
      <c r="R90" s="65"/>
      <c r="S90" s="65"/>
      <c r="T90" s="65"/>
      <c r="U90" s="66"/>
      <c r="V90" s="66"/>
      <c r="W90" s="66"/>
      <c r="X90" s="65"/>
      <c r="Y90" s="65"/>
      <c r="Z90" s="65"/>
      <c r="AA90" s="66"/>
      <c r="AB90" s="66"/>
      <c r="AC90" s="66"/>
      <c r="AD90" s="65"/>
      <c r="AE90" s="65"/>
      <c r="AF90" s="65"/>
      <c r="AG90" s="66"/>
      <c r="AH90" s="66"/>
      <c r="AI90" s="66"/>
      <c r="AJ90" s="65"/>
      <c r="AK90" s="65"/>
      <c r="AL90" s="65"/>
    </row>
    <row r="91" spans="1:38" s="3" customFormat="1" ht="17.25" x14ac:dyDescent="0.3">
      <c r="A91" s="70" t="s">
        <v>79</v>
      </c>
      <c r="B91" s="16"/>
      <c r="C91" s="19"/>
      <c r="D91" s="24"/>
      <c r="F91" s="65"/>
      <c r="G91" s="65"/>
      <c r="H91" s="65"/>
      <c r="I91" s="66"/>
      <c r="J91" s="66"/>
      <c r="K91" s="66"/>
      <c r="L91" s="65"/>
      <c r="M91" s="65"/>
      <c r="N91" s="65"/>
      <c r="O91" s="66"/>
      <c r="P91" s="66"/>
      <c r="Q91" s="66"/>
      <c r="R91" s="65"/>
      <c r="S91" s="65"/>
      <c r="T91" s="65"/>
      <c r="U91" s="66"/>
      <c r="V91" s="66"/>
      <c r="W91" s="66"/>
      <c r="X91" s="65"/>
      <c r="Y91" s="65"/>
      <c r="Z91" s="65"/>
      <c r="AA91" s="66"/>
      <c r="AB91" s="66"/>
      <c r="AC91" s="66"/>
      <c r="AD91" s="65"/>
      <c r="AE91" s="65"/>
      <c r="AF91" s="65"/>
      <c r="AG91" s="66"/>
      <c r="AH91" s="66"/>
      <c r="AI91" s="66"/>
      <c r="AJ91" s="65"/>
      <c r="AK91" s="65"/>
      <c r="AL91" s="65"/>
    </row>
    <row r="92" spans="1:38" s="3" customFormat="1" ht="17.25" x14ac:dyDescent="0.3">
      <c r="A92" s="68" t="s">
        <v>75</v>
      </c>
      <c r="B92" s="16"/>
      <c r="C92" s="14">
        <f t="shared" ref="C92:C95" si="43">H92+K92+N92+Q92+T92+W92+Z92+AC92+AF92+AI92+AL92</f>
        <v>68795.78</v>
      </c>
      <c r="D92" s="24"/>
      <c r="F92" s="65">
        <v>68795.78</v>
      </c>
      <c r="G92" s="65"/>
      <c r="H92" s="65">
        <f t="shared" si="22"/>
        <v>68795.78</v>
      </c>
      <c r="I92" s="66"/>
      <c r="J92" s="66"/>
      <c r="K92" s="66">
        <f t="shared" si="23"/>
        <v>0</v>
      </c>
      <c r="L92" s="65"/>
      <c r="M92" s="65"/>
      <c r="N92" s="65">
        <f t="shared" si="24"/>
        <v>0</v>
      </c>
      <c r="O92" s="66"/>
      <c r="P92" s="66"/>
      <c r="Q92" s="66">
        <f t="shared" si="25"/>
        <v>0</v>
      </c>
      <c r="R92" s="65"/>
      <c r="S92" s="65"/>
      <c r="T92" s="65">
        <f t="shared" si="26"/>
        <v>0</v>
      </c>
      <c r="U92" s="66"/>
      <c r="V92" s="66"/>
      <c r="W92" s="66">
        <f t="shared" si="27"/>
        <v>0</v>
      </c>
      <c r="X92" s="65"/>
      <c r="Y92" s="65"/>
      <c r="Z92" s="65">
        <f t="shared" si="28"/>
        <v>0</v>
      </c>
      <c r="AA92" s="66"/>
      <c r="AB92" s="66"/>
      <c r="AC92" s="66">
        <f t="shared" si="29"/>
        <v>0</v>
      </c>
      <c r="AD92" s="65"/>
      <c r="AE92" s="65"/>
      <c r="AF92" s="65">
        <f t="shared" si="30"/>
        <v>0</v>
      </c>
      <c r="AG92" s="66"/>
      <c r="AH92" s="66"/>
      <c r="AI92" s="66">
        <f t="shared" si="31"/>
        <v>0</v>
      </c>
      <c r="AJ92" s="65"/>
      <c r="AK92" s="65"/>
      <c r="AL92" s="65">
        <f t="shared" si="32"/>
        <v>0</v>
      </c>
    </row>
    <row r="93" spans="1:38" s="3" customFormat="1" ht="17.25" x14ac:dyDescent="0.3">
      <c r="A93" s="15" t="s">
        <v>35</v>
      </c>
      <c r="B93" s="16"/>
      <c r="C93" s="14">
        <f t="shared" si="43"/>
        <v>126320.2</v>
      </c>
      <c r="D93" s="24"/>
      <c r="F93" s="65">
        <v>26677.26</v>
      </c>
      <c r="G93" s="65"/>
      <c r="H93" s="65">
        <f t="shared" si="22"/>
        <v>26677.26</v>
      </c>
      <c r="I93" s="66">
        <v>21818.94</v>
      </c>
      <c r="J93" s="66"/>
      <c r="K93" s="66">
        <f t="shared" si="23"/>
        <v>21818.94</v>
      </c>
      <c r="L93" s="65">
        <v>2074</v>
      </c>
      <c r="M93" s="65"/>
      <c r="N93" s="65">
        <f t="shared" si="24"/>
        <v>2074</v>
      </c>
      <c r="O93" s="66">
        <v>75750</v>
      </c>
      <c r="P93" s="66"/>
      <c r="Q93" s="66">
        <f t="shared" si="25"/>
        <v>75750</v>
      </c>
      <c r="R93" s="65"/>
      <c r="S93" s="65"/>
      <c r="T93" s="65">
        <f t="shared" si="26"/>
        <v>0</v>
      </c>
      <c r="U93" s="66"/>
      <c r="V93" s="66"/>
      <c r="W93" s="66">
        <f t="shared" si="27"/>
        <v>0</v>
      </c>
      <c r="X93" s="65"/>
      <c r="Y93" s="65"/>
      <c r="Z93" s="65">
        <f t="shared" si="28"/>
        <v>0</v>
      </c>
      <c r="AA93" s="66"/>
      <c r="AB93" s="66"/>
      <c r="AC93" s="66">
        <f t="shared" si="29"/>
        <v>0</v>
      </c>
      <c r="AD93" s="65"/>
      <c r="AE93" s="65"/>
      <c r="AF93" s="65">
        <f t="shared" si="30"/>
        <v>0</v>
      </c>
      <c r="AG93" s="66"/>
      <c r="AH93" s="66"/>
      <c r="AI93" s="66">
        <f t="shared" si="31"/>
        <v>0</v>
      </c>
      <c r="AJ93" s="65"/>
      <c r="AK93" s="65"/>
      <c r="AL93" s="65">
        <f t="shared" si="32"/>
        <v>0</v>
      </c>
    </row>
    <row r="94" spans="1:38" s="3" customFormat="1" ht="17.25" x14ac:dyDescent="0.3">
      <c r="A94" s="68" t="s">
        <v>76</v>
      </c>
      <c r="B94" s="16"/>
      <c r="C94" s="14">
        <f t="shared" si="43"/>
        <v>91663.6</v>
      </c>
      <c r="D94" s="24"/>
      <c r="F94" s="65"/>
      <c r="G94" s="65"/>
      <c r="H94" s="65">
        <f t="shared" si="22"/>
        <v>0</v>
      </c>
      <c r="I94" s="66">
        <v>91663.6</v>
      </c>
      <c r="J94" s="66"/>
      <c r="K94" s="66">
        <f t="shared" si="23"/>
        <v>91663.6</v>
      </c>
      <c r="L94" s="65"/>
      <c r="M94" s="65"/>
      <c r="N94" s="65">
        <f t="shared" si="24"/>
        <v>0</v>
      </c>
      <c r="O94" s="66"/>
      <c r="P94" s="66"/>
      <c r="Q94" s="66">
        <f t="shared" si="25"/>
        <v>0</v>
      </c>
      <c r="R94" s="65"/>
      <c r="S94" s="65"/>
      <c r="T94" s="65">
        <f t="shared" si="26"/>
        <v>0</v>
      </c>
      <c r="U94" s="66"/>
      <c r="V94" s="66"/>
      <c r="W94" s="66">
        <f t="shared" si="27"/>
        <v>0</v>
      </c>
      <c r="X94" s="65"/>
      <c r="Y94" s="65"/>
      <c r="Z94" s="65">
        <f t="shared" si="28"/>
        <v>0</v>
      </c>
      <c r="AA94" s="66"/>
      <c r="AB94" s="66"/>
      <c r="AC94" s="66">
        <f t="shared" si="29"/>
        <v>0</v>
      </c>
      <c r="AD94" s="65"/>
      <c r="AE94" s="65"/>
      <c r="AF94" s="65">
        <f t="shared" si="30"/>
        <v>0</v>
      </c>
      <c r="AG94" s="66"/>
      <c r="AH94" s="66"/>
      <c r="AI94" s="66">
        <f t="shared" si="31"/>
        <v>0</v>
      </c>
      <c r="AJ94" s="65"/>
      <c r="AK94" s="65"/>
      <c r="AL94" s="65">
        <f t="shared" si="32"/>
        <v>0</v>
      </c>
    </row>
    <row r="95" spans="1:38" s="3" customFormat="1" ht="18.95" customHeight="1" x14ac:dyDescent="0.3">
      <c r="A95" s="15" t="s">
        <v>36</v>
      </c>
      <c r="B95" s="16"/>
      <c r="C95" s="14">
        <f t="shared" si="43"/>
        <v>129605.9</v>
      </c>
      <c r="D95" s="45"/>
      <c r="F95" s="65">
        <v>28034.9</v>
      </c>
      <c r="G95" s="65"/>
      <c r="H95" s="65">
        <f t="shared" si="22"/>
        <v>28034.9</v>
      </c>
      <c r="I95" s="66">
        <v>21707</v>
      </c>
      <c r="J95" s="66"/>
      <c r="K95" s="66">
        <f t="shared" si="23"/>
        <v>21707</v>
      </c>
      <c r="L95" s="65"/>
      <c r="M95" s="65"/>
      <c r="N95" s="65">
        <f t="shared" si="24"/>
        <v>0</v>
      </c>
      <c r="O95" s="66">
        <f>26364+50000</f>
        <v>76364</v>
      </c>
      <c r="P95" s="66"/>
      <c r="Q95" s="66">
        <f t="shared" si="25"/>
        <v>76364</v>
      </c>
      <c r="R95" s="65">
        <v>3500</v>
      </c>
      <c r="S95" s="65"/>
      <c r="T95" s="65">
        <f t="shared" si="26"/>
        <v>3500</v>
      </c>
      <c r="U95" s="66"/>
      <c r="V95" s="66"/>
      <c r="W95" s="66">
        <f t="shared" si="27"/>
        <v>0</v>
      </c>
      <c r="X95" s="65"/>
      <c r="Y95" s="65"/>
      <c r="Z95" s="65">
        <f t="shared" si="28"/>
        <v>0</v>
      </c>
      <c r="AA95" s="66"/>
      <c r="AB95" s="66"/>
      <c r="AC95" s="66">
        <f t="shared" si="29"/>
        <v>0</v>
      </c>
      <c r="AD95" s="65"/>
      <c r="AE95" s="65"/>
      <c r="AF95" s="65">
        <f t="shared" si="30"/>
        <v>0</v>
      </c>
      <c r="AG95" s="66"/>
      <c r="AH95" s="66"/>
      <c r="AI95" s="66">
        <f t="shared" si="31"/>
        <v>0</v>
      </c>
      <c r="AJ95" s="65"/>
      <c r="AK95" s="65"/>
      <c r="AL95" s="65">
        <f t="shared" si="32"/>
        <v>0</v>
      </c>
    </row>
    <row r="96" spans="1:38" s="3" customFormat="1" ht="18.95" customHeight="1" x14ac:dyDescent="0.3">
      <c r="A96" s="70" t="s">
        <v>80</v>
      </c>
      <c r="B96" s="16"/>
      <c r="C96" s="28">
        <f>SUM(C92:C95)</f>
        <v>416385.48</v>
      </c>
      <c r="D96" s="28"/>
      <c r="F96" s="28">
        <f>SUM(F92:F95)</f>
        <v>123507.94</v>
      </c>
      <c r="G96" s="28">
        <f>SUM(G92:G95)</f>
        <v>0</v>
      </c>
      <c r="H96" s="28">
        <f>SUM(H92:H95)</f>
        <v>123507.94</v>
      </c>
      <c r="I96" s="28">
        <f t="shared" ref="I96:AL96" si="44">SUM(I92:I95)</f>
        <v>135189.54</v>
      </c>
      <c r="J96" s="28">
        <f t="shared" si="44"/>
        <v>0</v>
      </c>
      <c r="K96" s="28">
        <f t="shared" si="44"/>
        <v>135189.54</v>
      </c>
      <c r="L96" s="28">
        <f t="shared" si="44"/>
        <v>2074</v>
      </c>
      <c r="M96" s="28">
        <f t="shared" si="44"/>
        <v>0</v>
      </c>
      <c r="N96" s="28">
        <f t="shared" si="44"/>
        <v>2074</v>
      </c>
      <c r="O96" s="28">
        <f t="shared" si="44"/>
        <v>152114</v>
      </c>
      <c r="P96" s="28">
        <f t="shared" si="44"/>
        <v>0</v>
      </c>
      <c r="Q96" s="28">
        <f t="shared" si="44"/>
        <v>152114</v>
      </c>
      <c r="R96" s="28">
        <f t="shared" si="44"/>
        <v>3500</v>
      </c>
      <c r="S96" s="28">
        <f t="shared" si="44"/>
        <v>0</v>
      </c>
      <c r="T96" s="28">
        <f t="shared" si="44"/>
        <v>3500</v>
      </c>
      <c r="U96" s="28">
        <f t="shared" si="44"/>
        <v>0</v>
      </c>
      <c r="V96" s="28">
        <f t="shared" si="44"/>
        <v>0</v>
      </c>
      <c r="W96" s="28">
        <f t="shared" si="44"/>
        <v>0</v>
      </c>
      <c r="X96" s="28">
        <f t="shared" si="44"/>
        <v>0</v>
      </c>
      <c r="Y96" s="28">
        <f t="shared" si="44"/>
        <v>0</v>
      </c>
      <c r="Z96" s="28">
        <f t="shared" si="44"/>
        <v>0</v>
      </c>
      <c r="AA96" s="28">
        <f t="shared" si="44"/>
        <v>0</v>
      </c>
      <c r="AB96" s="28">
        <f t="shared" si="44"/>
        <v>0</v>
      </c>
      <c r="AC96" s="28">
        <f t="shared" si="44"/>
        <v>0</v>
      </c>
      <c r="AD96" s="28">
        <f t="shared" si="44"/>
        <v>0</v>
      </c>
      <c r="AE96" s="28">
        <f t="shared" si="44"/>
        <v>0</v>
      </c>
      <c r="AF96" s="28">
        <f t="shared" si="44"/>
        <v>0</v>
      </c>
      <c r="AG96" s="28">
        <f t="shared" si="44"/>
        <v>0</v>
      </c>
      <c r="AH96" s="28">
        <f t="shared" si="44"/>
        <v>0</v>
      </c>
      <c r="AI96" s="28">
        <f t="shared" si="44"/>
        <v>0</v>
      </c>
      <c r="AJ96" s="28">
        <f t="shared" si="44"/>
        <v>0</v>
      </c>
      <c r="AK96" s="28">
        <f t="shared" si="44"/>
        <v>0</v>
      </c>
      <c r="AL96" s="28">
        <f t="shared" si="44"/>
        <v>0</v>
      </c>
    </row>
    <row r="97" spans="1:39" s="3" customFormat="1" ht="18.95" customHeight="1" x14ac:dyDescent="0.3">
      <c r="A97" s="70" t="s">
        <v>81</v>
      </c>
      <c r="B97" s="16"/>
      <c r="C97" s="72">
        <f>C89+C96</f>
        <v>1958428.23</v>
      </c>
      <c r="D97" s="28"/>
      <c r="F97" s="72">
        <f>F89+F96</f>
        <v>1665550.69</v>
      </c>
      <c r="G97" s="72">
        <f t="shared" ref="G97:AL97" si="45">G89+G96</f>
        <v>0</v>
      </c>
      <c r="H97" s="72">
        <f t="shared" si="45"/>
        <v>1665550.69</v>
      </c>
      <c r="I97" s="72">
        <f t="shared" si="45"/>
        <v>135189.54</v>
      </c>
      <c r="J97" s="72">
        <f t="shared" si="45"/>
        <v>0</v>
      </c>
      <c r="K97" s="72">
        <f t="shared" si="45"/>
        <v>135189.54</v>
      </c>
      <c r="L97" s="72">
        <f t="shared" si="45"/>
        <v>2074</v>
      </c>
      <c r="M97" s="72">
        <f t="shared" si="45"/>
        <v>0</v>
      </c>
      <c r="N97" s="72">
        <f t="shared" si="45"/>
        <v>2074</v>
      </c>
      <c r="O97" s="72">
        <f t="shared" si="45"/>
        <v>152114</v>
      </c>
      <c r="P97" s="72">
        <f t="shared" si="45"/>
        <v>0</v>
      </c>
      <c r="Q97" s="72">
        <f t="shared" si="45"/>
        <v>152114</v>
      </c>
      <c r="R97" s="72">
        <f t="shared" si="45"/>
        <v>3500</v>
      </c>
      <c r="S97" s="72">
        <f t="shared" si="45"/>
        <v>0</v>
      </c>
      <c r="T97" s="72">
        <f t="shared" si="45"/>
        <v>3500</v>
      </c>
      <c r="U97" s="72">
        <f t="shared" si="45"/>
        <v>0</v>
      </c>
      <c r="V97" s="72">
        <f t="shared" si="45"/>
        <v>0</v>
      </c>
      <c r="W97" s="72">
        <f t="shared" si="45"/>
        <v>0</v>
      </c>
      <c r="X97" s="72">
        <f t="shared" si="45"/>
        <v>0</v>
      </c>
      <c r="Y97" s="72">
        <f t="shared" si="45"/>
        <v>0</v>
      </c>
      <c r="Z97" s="72">
        <f t="shared" si="45"/>
        <v>0</v>
      </c>
      <c r="AA97" s="72">
        <f t="shared" si="45"/>
        <v>0</v>
      </c>
      <c r="AB97" s="72">
        <f t="shared" si="45"/>
        <v>0</v>
      </c>
      <c r="AC97" s="72">
        <f t="shared" si="45"/>
        <v>0</v>
      </c>
      <c r="AD97" s="72">
        <f t="shared" si="45"/>
        <v>0</v>
      </c>
      <c r="AE97" s="72">
        <f t="shared" si="45"/>
        <v>0</v>
      </c>
      <c r="AF97" s="72">
        <f t="shared" si="45"/>
        <v>0</v>
      </c>
      <c r="AG97" s="72">
        <f t="shared" si="45"/>
        <v>0</v>
      </c>
      <c r="AH97" s="72">
        <f t="shared" si="45"/>
        <v>0</v>
      </c>
      <c r="AI97" s="72">
        <f t="shared" si="45"/>
        <v>0</v>
      </c>
      <c r="AJ97" s="72">
        <f t="shared" si="45"/>
        <v>0</v>
      </c>
      <c r="AK97" s="72">
        <f t="shared" si="45"/>
        <v>0</v>
      </c>
      <c r="AL97" s="72">
        <f t="shared" si="45"/>
        <v>0</v>
      </c>
    </row>
    <row r="98" spans="1:39" s="3" customFormat="1" ht="18.95" customHeight="1" x14ac:dyDescent="0.3">
      <c r="A98" s="4"/>
      <c r="B98" s="16"/>
      <c r="C98" s="28"/>
      <c r="D98" s="28"/>
      <c r="F98" s="28"/>
      <c r="G98" s="65"/>
      <c r="H98" s="65"/>
      <c r="I98" s="66"/>
      <c r="J98" s="66"/>
      <c r="K98" s="66"/>
      <c r="L98" s="65"/>
      <c r="M98" s="65"/>
      <c r="N98" s="65"/>
      <c r="O98" s="66"/>
      <c r="P98" s="66"/>
      <c r="Q98" s="66"/>
      <c r="R98" s="65"/>
      <c r="S98" s="65"/>
      <c r="T98" s="65"/>
      <c r="U98" s="66"/>
      <c r="V98" s="66"/>
      <c r="W98" s="66"/>
      <c r="X98" s="65"/>
      <c r="Y98" s="65"/>
      <c r="Z98" s="65"/>
      <c r="AA98" s="66"/>
      <c r="AB98" s="66"/>
      <c r="AC98" s="66"/>
      <c r="AD98" s="65"/>
      <c r="AE98" s="65"/>
      <c r="AF98" s="65"/>
      <c r="AG98" s="66"/>
      <c r="AH98" s="66"/>
      <c r="AI98" s="66"/>
      <c r="AJ98" s="65"/>
      <c r="AK98" s="65"/>
      <c r="AL98" s="65"/>
    </row>
    <row r="99" spans="1:39" s="3" customFormat="1" ht="18.95" customHeight="1" thickBot="1" x14ac:dyDescent="0.35">
      <c r="A99" s="4" t="s">
        <v>37</v>
      </c>
      <c r="B99" s="16"/>
      <c r="C99" s="17">
        <f>C84+C97</f>
        <v>4121261.6700000004</v>
      </c>
      <c r="D99" s="28"/>
      <c r="F99" s="17">
        <f>F84+F97</f>
        <v>2510785.9500000002</v>
      </c>
      <c r="G99" s="17">
        <f t="shared" ref="G99:AL99" si="46">G84+G97</f>
        <v>0</v>
      </c>
      <c r="H99" s="17">
        <f t="shared" si="46"/>
        <v>2510785.9500000002</v>
      </c>
      <c r="I99" s="17">
        <f t="shared" si="46"/>
        <v>291957.12</v>
      </c>
      <c r="J99" s="17">
        <f t="shared" si="46"/>
        <v>0</v>
      </c>
      <c r="K99" s="17">
        <f t="shared" si="46"/>
        <v>291957.12</v>
      </c>
      <c r="L99" s="17">
        <f t="shared" si="46"/>
        <v>859313.3</v>
      </c>
      <c r="M99" s="17">
        <f t="shared" si="46"/>
        <v>0</v>
      </c>
      <c r="N99" s="17">
        <f t="shared" si="46"/>
        <v>859313.3</v>
      </c>
      <c r="O99" s="17">
        <f t="shared" si="46"/>
        <v>347259</v>
      </c>
      <c r="P99" s="17">
        <f t="shared" si="46"/>
        <v>0</v>
      </c>
      <c r="Q99" s="17">
        <f t="shared" si="46"/>
        <v>347259</v>
      </c>
      <c r="R99" s="17">
        <f t="shared" si="46"/>
        <v>108272</v>
      </c>
      <c r="S99" s="17">
        <f t="shared" si="46"/>
        <v>-70000</v>
      </c>
      <c r="T99" s="17">
        <f t="shared" si="46"/>
        <v>38272</v>
      </c>
      <c r="U99" s="17">
        <f t="shared" si="46"/>
        <v>25544.95</v>
      </c>
      <c r="V99" s="17">
        <f t="shared" si="46"/>
        <v>0</v>
      </c>
      <c r="W99" s="17">
        <f t="shared" si="46"/>
        <v>25544.95</v>
      </c>
      <c r="X99" s="17">
        <f t="shared" si="46"/>
        <v>38107.79</v>
      </c>
      <c r="Y99" s="17">
        <f t="shared" si="46"/>
        <v>0</v>
      </c>
      <c r="Z99" s="17">
        <f t="shared" si="46"/>
        <v>38107.79</v>
      </c>
      <c r="AA99" s="17">
        <f t="shared" si="46"/>
        <v>2075.19</v>
      </c>
      <c r="AB99" s="17">
        <f t="shared" si="46"/>
        <v>0</v>
      </c>
      <c r="AC99" s="17">
        <f t="shared" si="46"/>
        <v>2075.19</v>
      </c>
      <c r="AD99" s="17">
        <f t="shared" si="46"/>
        <v>7946.37</v>
      </c>
      <c r="AE99" s="17">
        <f t="shared" si="46"/>
        <v>0</v>
      </c>
      <c r="AF99" s="17">
        <f t="shared" si="46"/>
        <v>7946.37</v>
      </c>
      <c r="AG99" s="17">
        <f t="shared" si="46"/>
        <v>0</v>
      </c>
      <c r="AH99" s="17">
        <f t="shared" si="46"/>
        <v>0</v>
      </c>
      <c r="AI99" s="17">
        <f t="shared" si="46"/>
        <v>0</v>
      </c>
      <c r="AJ99" s="17">
        <f t="shared" si="46"/>
        <v>0</v>
      </c>
      <c r="AK99" s="17">
        <f t="shared" si="46"/>
        <v>0</v>
      </c>
      <c r="AL99" s="17">
        <f t="shared" si="46"/>
        <v>0</v>
      </c>
    </row>
    <row r="100" spans="1:39" s="3" customFormat="1" ht="13.5" thickTop="1" x14ac:dyDescent="0.2">
      <c r="C100" s="73">
        <f>C74-C99</f>
        <v>0</v>
      </c>
      <c r="D100" s="50"/>
      <c r="F100" s="73">
        <f>F74-F99</f>
        <v>0</v>
      </c>
      <c r="G100" s="73">
        <f t="shared" ref="G100:AL100" si="47">G74-G99</f>
        <v>0</v>
      </c>
      <c r="H100" s="73">
        <f t="shared" si="47"/>
        <v>0</v>
      </c>
      <c r="I100" s="73">
        <f t="shared" si="47"/>
        <v>0</v>
      </c>
      <c r="J100" s="73">
        <f t="shared" si="47"/>
        <v>0</v>
      </c>
      <c r="K100" s="73">
        <f t="shared" si="47"/>
        <v>0</v>
      </c>
      <c r="L100" s="73">
        <f t="shared" si="47"/>
        <v>0</v>
      </c>
      <c r="M100" s="73">
        <f t="shared" si="47"/>
        <v>0</v>
      </c>
      <c r="N100" s="73">
        <f t="shared" si="47"/>
        <v>0</v>
      </c>
      <c r="O100" s="73">
        <f t="shared" si="47"/>
        <v>0</v>
      </c>
      <c r="P100" s="73">
        <f t="shared" si="47"/>
        <v>-70000</v>
      </c>
      <c r="Q100" s="73">
        <f t="shared" si="47"/>
        <v>-70000</v>
      </c>
      <c r="R100" s="73">
        <f t="shared" si="47"/>
        <v>0</v>
      </c>
      <c r="S100" s="73">
        <f t="shared" si="47"/>
        <v>70000</v>
      </c>
      <c r="T100" s="73">
        <f t="shared" si="47"/>
        <v>70000</v>
      </c>
      <c r="U100" s="73">
        <f t="shared" si="47"/>
        <v>0</v>
      </c>
      <c r="V100" s="73">
        <f t="shared" si="47"/>
        <v>0</v>
      </c>
      <c r="W100" s="73">
        <f t="shared" si="47"/>
        <v>0</v>
      </c>
      <c r="X100" s="73">
        <f t="shared" si="47"/>
        <v>0</v>
      </c>
      <c r="Y100" s="73">
        <f t="shared" si="47"/>
        <v>0</v>
      </c>
      <c r="Z100" s="73">
        <f t="shared" si="47"/>
        <v>0</v>
      </c>
      <c r="AA100" s="73">
        <f t="shared" si="47"/>
        <v>0</v>
      </c>
      <c r="AB100" s="73">
        <f t="shared" si="47"/>
        <v>0</v>
      </c>
      <c r="AC100" s="73">
        <f t="shared" si="47"/>
        <v>0</v>
      </c>
      <c r="AD100" s="73">
        <f t="shared" si="47"/>
        <v>0</v>
      </c>
      <c r="AE100" s="73">
        <f t="shared" si="47"/>
        <v>0</v>
      </c>
      <c r="AF100" s="73">
        <f t="shared" si="47"/>
        <v>0</v>
      </c>
      <c r="AG100" s="73">
        <f t="shared" si="47"/>
        <v>0</v>
      </c>
      <c r="AH100" s="73">
        <f t="shared" si="47"/>
        <v>0</v>
      </c>
      <c r="AI100" s="73">
        <f t="shared" si="47"/>
        <v>0</v>
      </c>
      <c r="AJ100" s="73">
        <f t="shared" si="47"/>
        <v>0</v>
      </c>
      <c r="AK100" s="73">
        <f t="shared" si="47"/>
        <v>0</v>
      </c>
      <c r="AL100" s="73">
        <f t="shared" si="47"/>
        <v>0</v>
      </c>
      <c r="AM100" s="51"/>
    </row>
    <row r="101" spans="1:39" s="3" customFormat="1" ht="12.75" x14ac:dyDescent="0.2">
      <c r="C101" s="50"/>
      <c r="D101" s="50"/>
    </row>
    <row r="102" spans="1:39" s="3" customFormat="1" ht="12.75" x14ac:dyDescent="0.2">
      <c r="C102" s="51"/>
      <c r="D102" s="52"/>
    </row>
    <row r="103" spans="1:39" s="3" customFormat="1" x14ac:dyDescent="0.2">
      <c r="A103" s="15"/>
      <c r="B103" s="5"/>
      <c r="C103" s="5"/>
      <c r="D103" s="56"/>
    </row>
    <row r="104" spans="1:39" s="3" customFormat="1" x14ac:dyDescent="0.2">
      <c r="A104" s="15"/>
      <c r="C104" s="15"/>
      <c r="D104" s="12"/>
    </row>
    <row r="105" spans="1:39" s="3" customFormat="1" x14ac:dyDescent="0.2">
      <c r="A105" s="15"/>
      <c r="C105" s="15"/>
      <c r="D105" s="12"/>
    </row>
    <row r="106" spans="1:39" s="3" customFormat="1" x14ac:dyDescent="0.2">
      <c r="A106" s="15"/>
      <c r="C106" s="15"/>
      <c r="D106" s="12"/>
    </row>
    <row r="107" spans="1:39" s="3" customFormat="1" x14ac:dyDescent="0.2">
      <c r="A107" s="15"/>
      <c r="C107" s="15"/>
      <c r="D107" s="12"/>
    </row>
    <row r="108" spans="1:39" s="3" customFormat="1" x14ac:dyDescent="0.2">
      <c r="A108" s="15"/>
      <c r="C108" s="15"/>
      <c r="D108" s="12"/>
    </row>
    <row r="109" spans="1:39" s="3" customFormat="1" x14ac:dyDescent="0.2">
      <c r="A109" s="15"/>
      <c r="B109" s="5"/>
      <c r="C109" s="5"/>
      <c r="D109" s="56"/>
    </row>
    <row r="110" spans="1:39" s="3" customFormat="1" x14ac:dyDescent="0.2">
      <c r="A110" s="15"/>
      <c r="B110" s="5"/>
      <c r="C110" s="5"/>
      <c r="D110" s="56"/>
    </row>
    <row r="111" spans="1:39" s="3" customFormat="1" x14ac:dyDescent="0.2">
      <c r="A111" s="15"/>
      <c r="B111" s="5"/>
      <c r="C111" s="5"/>
      <c r="D111" s="56"/>
    </row>
    <row r="112" spans="1:39" s="3" customFormat="1" x14ac:dyDescent="0.2">
      <c r="A112" s="15"/>
      <c r="B112" s="5"/>
      <c r="C112" s="5"/>
      <c r="D112" s="56"/>
    </row>
    <row r="113" spans="1:4" s="3" customFormat="1" x14ac:dyDescent="0.2">
      <c r="A113" s="15"/>
      <c r="B113" s="5"/>
      <c r="C113" s="5"/>
      <c r="D113" s="56"/>
    </row>
    <row r="114" spans="1:4" s="3" customFormat="1" x14ac:dyDescent="0.2">
      <c r="A114" s="15"/>
      <c r="B114" s="5"/>
      <c r="C114" s="5"/>
      <c r="D114" s="56"/>
    </row>
    <row r="115" spans="1:4" s="3" customFormat="1" x14ac:dyDescent="0.2">
      <c r="A115" s="15"/>
      <c r="B115" s="5"/>
      <c r="C115" s="5"/>
      <c r="D115" s="56"/>
    </row>
    <row r="116" spans="1:4" s="3" customFormat="1" x14ac:dyDescent="0.2">
      <c r="A116" s="15"/>
      <c r="B116" s="5"/>
      <c r="C116" s="5"/>
      <c r="D116" s="56"/>
    </row>
    <row r="117" spans="1:4" s="3" customFormat="1" x14ac:dyDescent="0.2">
      <c r="A117" s="15"/>
      <c r="B117" s="5"/>
      <c r="C117" s="5"/>
      <c r="D117" s="56"/>
    </row>
    <row r="118" spans="1:4" s="3" customFormat="1" ht="12.75" x14ac:dyDescent="0.2">
      <c r="B118" s="2"/>
      <c r="C118" s="2"/>
      <c r="D118" s="57"/>
    </row>
    <row r="119" spans="1:4" s="3" customFormat="1" ht="12.75" x14ac:dyDescent="0.2">
      <c r="B119" s="2"/>
      <c r="C119" s="2"/>
      <c r="D119" s="57"/>
    </row>
    <row r="120" spans="1:4" s="3" customFormat="1" ht="12.75" x14ac:dyDescent="0.2">
      <c r="B120" s="2"/>
      <c r="C120" s="2"/>
      <c r="D120" s="57"/>
    </row>
    <row r="121" spans="1:4" s="3" customFormat="1" ht="12.75" x14ac:dyDescent="0.2">
      <c r="B121" s="2"/>
      <c r="C121" s="2"/>
      <c r="D121" s="57"/>
    </row>
    <row r="122" spans="1:4" s="3" customFormat="1" ht="12.75" x14ac:dyDescent="0.2">
      <c r="B122" s="2"/>
      <c r="C122" s="2"/>
      <c r="D122" s="57"/>
    </row>
    <row r="123" spans="1:4" s="3" customFormat="1" ht="12.75" x14ac:dyDescent="0.2">
      <c r="B123" s="2"/>
      <c r="C123" s="2"/>
      <c r="D123" s="57"/>
    </row>
    <row r="124" spans="1:4" s="3" customFormat="1" ht="12.75" x14ac:dyDescent="0.2">
      <c r="B124" s="2"/>
      <c r="C124" s="2"/>
      <c r="D124" s="57"/>
    </row>
    <row r="125" spans="1:4" s="3" customFormat="1" ht="12.75" x14ac:dyDescent="0.2">
      <c r="B125" s="2"/>
      <c r="C125" s="2"/>
      <c r="D125" s="57"/>
    </row>
    <row r="126" spans="1:4" s="3" customFormat="1" ht="12.75" x14ac:dyDescent="0.2">
      <c r="B126" s="2"/>
      <c r="C126" s="2"/>
      <c r="D126" s="57"/>
    </row>
    <row r="127" spans="1:4" s="3" customFormat="1" ht="12.75" x14ac:dyDescent="0.2">
      <c r="B127" s="2"/>
      <c r="C127" s="2"/>
      <c r="D127" s="57"/>
    </row>
    <row r="128" spans="1:4" s="3" customFormat="1" ht="12.75" x14ac:dyDescent="0.2">
      <c r="B128" s="2"/>
      <c r="C128" s="2"/>
      <c r="D128" s="57"/>
    </row>
    <row r="129" spans="2:4" s="3" customFormat="1" ht="12.75" x14ac:dyDescent="0.2">
      <c r="B129" s="2"/>
      <c r="C129" s="2"/>
      <c r="D129" s="57"/>
    </row>
    <row r="130" spans="2:4" s="3" customFormat="1" ht="12.75" x14ac:dyDescent="0.2">
      <c r="B130" s="2"/>
      <c r="C130" s="2"/>
      <c r="D130" s="57"/>
    </row>
    <row r="131" spans="2:4" s="3" customFormat="1" ht="12.75" x14ac:dyDescent="0.2">
      <c r="B131" s="2"/>
      <c r="C131" s="2"/>
      <c r="D131" s="57"/>
    </row>
    <row r="132" spans="2:4" s="3" customFormat="1" ht="12.75" x14ac:dyDescent="0.2">
      <c r="B132" s="2"/>
      <c r="C132" s="2"/>
      <c r="D132" s="57"/>
    </row>
    <row r="133" spans="2:4" s="3" customFormat="1" ht="12.75" x14ac:dyDescent="0.2">
      <c r="B133" s="2"/>
      <c r="C133" s="2"/>
      <c r="D133" s="57"/>
    </row>
    <row r="134" spans="2:4" s="3" customFormat="1" ht="12.75" x14ac:dyDescent="0.2">
      <c r="B134" s="2"/>
      <c r="C134" s="2"/>
      <c r="D134" s="2"/>
    </row>
    <row r="135" spans="2:4" s="3" customFormat="1" ht="12.75" x14ac:dyDescent="0.2">
      <c r="B135" s="2"/>
      <c r="C135" s="2"/>
      <c r="D135" s="2"/>
    </row>
    <row r="136" spans="2:4" s="3" customFormat="1" ht="12.75" x14ac:dyDescent="0.2">
      <c r="B136" s="2"/>
      <c r="C136" s="2"/>
      <c r="D136" s="2"/>
    </row>
    <row r="137" spans="2:4" s="3" customFormat="1" ht="12.75" x14ac:dyDescent="0.2">
      <c r="B137" s="2"/>
      <c r="C137" s="2"/>
      <c r="D137" s="2"/>
    </row>
    <row r="138" spans="2:4" s="3" customFormat="1" ht="12.75" x14ac:dyDescent="0.2">
      <c r="B138" s="2"/>
      <c r="C138" s="2"/>
      <c r="D138" s="2"/>
    </row>
    <row r="139" spans="2:4" s="3" customFormat="1" ht="12.75" x14ac:dyDescent="0.2">
      <c r="B139" s="2"/>
      <c r="C139" s="2"/>
      <c r="D139" s="2"/>
    </row>
    <row r="140" spans="2:4" s="3" customFormat="1" ht="12.75" x14ac:dyDescent="0.2">
      <c r="B140" s="2"/>
      <c r="C140" s="2"/>
      <c r="D140" s="2"/>
    </row>
    <row r="141" spans="2:4" s="3" customFormat="1" ht="12.75" x14ac:dyDescent="0.2">
      <c r="B141" s="2"/>
      <c r="C141" s="2"/>
      <c r="D141" s="2"/>
    </row>
    <row r="142" spans="2:4" s="3" customFormat="1" ht="12.75" x14ac:dyDescent="0.2">
      <c r="B142" s="2"/>
      <c r="C142" s="2"/>
      <c r="D142" s="2"/>
    </row>
    <row r="143" spans="2:4" s="3" customFormat="1" ht="12.75" x14ac:dyDescent="0.2">
      <c r="B143" s="2"/>
      <c r="C143" s="2"/>
      <c r="D143" s="2"/>
    </row>
    <row r="144" spans="2:4" s="3" customFormat="1" ht="12.75" x14ac:dyDescent="0.2">
      <c r="B144" s="2"/>
      <c r="C144" s="2"/>
      <c r="D144" s="2"/>
    </row>
    <row r="145" spans="2:4" s="3" customFormat="1" ht="12.75" x14ac:dyDescent="0.2">
      <c r="B145" s="2"/>
      <c r="C145" s="2"/>
      <c r="D145" s="2"/>
    </row>
    <row r="146" spans="2:4" s="3" customFormat="1" ht="12.75" x14ac:dyDescent="0.2">
      <c r="B146" s="2"/>
      <c r="C146" s="2"/>
      <c r="D146" s="2"/>
    </row>
    <row r="147" spans="2:4" s="3" customFormat="1" ht="12.75" x14ac:dyDescent="0.2">
      <c r="B147" s="2"/>
      <c r="C147" s="2"/>
      <c r="D147" s="2"/>
    </row>
    <row r="148" spans="2:4" s="3" customFormat="1" ht="12.75" x14ac:dyDescent="0.2">
      <c r="B148" s="2"/>
      <c r="C148" s="2"/>
      <c r="D148" s="2"/>
    </row>
    <row r="149" spans="2:4" s="3" customFormat="1" ht="12.75" x14ac:dyDescent="0.2">
      <c r="B149" s="2"/>
      <c r="C149" s="2"/>
      <c r="D149" s="2"/>
    </row>
    <row r="150" spans="2:4" s="3" customFormat="1" ht="12.75" x14ac:dyDescent="0.2">
      <c r="B150" s="2"/>
      <c r="C150" s="2"/>
      <c r="D150" s="2"/>
    </row>
    <row r="151" spans="2:4" s="3" customFormat="1" ht="12.75" x14ac:dyDescent="0.2">
      <c r="B151" s="2"/>
      <c r="C151" s="2"/>
      <c r="D151" s="2"/>
    </row>
    <row r="152" spans="2:4" s="3" customFormat="1" ht="12.75" x14ac:dyDescent="0.2">
      <c r="B152" s="2"/>
      <c r="C152" s="2"/>
      <c r="D152" s="2"/>
    </row>
    <row r="153" spans="2:4" s="3" customFormat="1" ht="12.75" x14ac:dyDescent="0.2">
      <c r="B153" s="2"/>
      <c r="C153" s="2"/>
      <c r="D153" s="2"/>
    </row>
    <row r="154" spans="2:4" s="3" customFormat="1" ht="12.75" x14ac:dyDescent="0.2">
      <c r="B154" s="2"/>
      <c r="C154" s="2"/>
      <c r="D154" s="2"/>
    </row>
    <row r="155" spans="2:4" s="3" customFormat="1" ht="12.75" x14ac:dyDescent="0.2">
      <c r="B155" s="2"/>
      <c r="C155" s="2"/>
      <c r="D155" s="2"/>
    </row>
    <row r="156" spans="2:4" s="3" customFormat="1" ht="12.75" x14ac:dyDescent="0.2">
      <c r="B156" s="2"/>
      <c r="C156" s="2"/>
      <c r="D156" s="2"/>
    </row>
    <row r="157" spans="2:4" s="3" customFormat="1" ht="12.75" x14ac:dyDescent="0.2">
      <c r="B157" s="2"/>
      <c r="C157" s="2"/>
      <c r="D157" s="2"/>
    </row>
    <row r="158" spans="2:4" s="3" customFormat="1" ht="12.75" x14ac:dyDescent="0.2">
      <c r="B158" s="2"/>
      <c r="C158" s="2"/>
      <c r="D158" s="2"/>
    </row>
    <row r="159" spans="2:4" s="3" customFormat="1" ht="12.75" x14ac:dyDescent="0.2">
      <c r="B159" s="2"/>
      <c r="C159" s="2"/>
      <c r="D159" s="2"/>
    </row>
    <row r="160" spans="2:4" s="3" customFormat="1" ht="12.75" x14ac:dyDescent="0.2">
      <c r="B160" s="2"/>
      <c r="C160" s="2"/>
      <c r="D160" s="2"/>
    </row>
    <row r="161" spans="2:4" s="3" customFormat="1" ht="12.75" x14ac:dyDescent="0.2">
      <c r="B161" s="2"/>
      <c r="C161" s="2"/>
      <c r="D161" s="2"/>
    </row>
  </sheetData>
  <mergeCells count="11">
    <mergeCell ref="X3:Z3"/>
    <mergeCell ref="AA3:AC3"/>
    <mergeCell ref="AD3:AF3"/>
    <mergeCell ref="AG3:AI3"/>
    <mergeCell ref="AJ3:AL3"/>
    <mergeCell ref="U3:W3"/>
    <mergeCell ref="F3:H3"/>
    <mergeCell ref="I3:K3"/>
    <mergeCell ref="L3:N3"/>
    <mergeCell ref="O3:Q3"/>
    <mergeCell ref="R3:T3"/>
  </mergeCells>
  <printOptions horizontalCentered="1"/>
  <pageMargins left="0.19685039370078741" right="3.937007874015748E-2" top="0.19685039370078741" bottom="0.19685039370078741" header="0" footer="0"/>
  <pageSetup paperSize="9" scale="49" firstPageNumber="2" fitToWidth="3" orientation="portrait" verticalDpi="1200" r:id="rId1"/>
  <headerFooter alignWithMargins="0"/>
  <colBreaks count="2" manualBreakCount="2">
    <brk id="14" max="100" man="1"/>
    <brk id="29" max="10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51"/>
  <sheetViews>
    <sheetView zoomScaleNormal="100" workbookViewId="0">
      <selection activeCell="C49" sqref="C49"/>
    </sheetView>
  </sheetViews>
  <sheetFormatPr baseColWidth="10" defaultColWidth="11.42578125" defaultRowHeight="15" x14ac:dyDescent="0.2"/>
  <cols>
    <col min="1" max="1" width="4.140625" style="86" customWidth="1"/>
    <col min="2" max="2" width="33" style="86" customWidth="1"/>
    <col min="3" max="3" width="24" style="86" customWidth="1"/>
    <col min="4" max="4" width="19.140625" style="86" customWidth="1"/>
    <col min="5" max="5" width="2.42578125" style="86" customWidth="1"/>
    <col min="6" max="6" width="19.140625" style="86" customWidth="1"/>
    <col min="7" max="7" width="10.5703125" style="86" customWidth="1"/>
    <col min="8" max="8" width="7.7109375" style="86" customWidth="1"/>
    <col min="9" max="256" width="12.42578125" style="86" customWidth="1"/>
    <col min="257" max="16384" width="11.42578125" style="92"/>
  </cols>
  <sheetData>
    <row r="1" spans="1:8" ht="30" x14ac:dyDescent="0.4">
      <c r="A1" s="84"/>
      <c r="B1" s="85" t="str">
        <f>'2022 Resultat og balanse'!A1</f>
        <v>Otta Idrettslag - med undergrupper</v>
      </c>
    </row>
    <row r="2" spans="1:8" s="86" customFormat="1" ht="17.100000000000001" customHeight="1" x14ac:dyDescent="0.3">
      <c r="A2" s="87"/>
      <c r="B2" s="111" t="s">
        <v>184</v>
      </c>
    </row>
    <row r="3" spans="1:8" s="86" customFormat="1" ht="17.100000000000001" customHeight="1" x14ac:dyDescent="0.3">
      <c r="A3" s="87"/>
      <c r="B3" s="88"/>
    </row>
    <row r="4" spans="1:8" s="86" customFormat="1" ht="15.75" x14ac:dyDescent="0.25">
      <c r="A4" s="84" t="s">
        <v>98</v>
      </c>
      <c r="B4" s="84" t="s">
        <v>99</v>
      </c>
      <c r="C4" s="89"/>
      <c r="D4" s="89"/>
      <c r="E4" s="89"/>
      <c r="F4" s="89"/>
      <c r="G4" s="89"/>
      <c r="H4" s="90"/>
    </row>
    <row r="5" spans="1:8" s="86" customFormat="1" ht="17.25" x14ac:dyDescent="0.3">
      <c r="A5" s="89"/>
      <c r="B5" s="95" t="s">
        <v>105</v>
      </c>
      <c r="C5" s="91"/>
      <c r="D5" s="91"/>
      <c r="E5" s="91"/>
      <c r="F5" s="91"/>
      <c r="G5" s="91"/>
      <c r="H5" s="90"/>
    </row>
    <row r="6" spans="1:8" s="86" customFormat="1" ht="17.25" x14ac:dyDescent="0.3">
      <c r="A6" s="89"/>
      <c r="B6" s="95" t="s">
        <v>118</v>
      </c>
      <c r="C6" s="91"/>
      <c r="D6" s="91"/>
      <c r="E6" s="91"/>
      <c r="F6" s="91"/>
      <c r="G6" s="91"/>
      <c r="H6" s="90"/>
    </row>
    <row r="7" spans="1:8" s="86" customFormat="1" ht="17.25" x14ac:dyDescent="0.3">
      <c r="A7" s="89"/>
      <c r="B7" s="95" t="s">
        <v>119</v>
      </c>
      <c r="C7" s="91"/>
      <c r="D7" s="91"/>
      <c r="E7" s="91"/>
      <c r="F7" s="91"/>
      <c r="G7" s="91"/>
      <c r="H7" s="90"/>
    </row>
    <row r="8" spans="1:8" s="86" customFormat="1" ht="21" customHeight="1" x14ac:dyDescent="0.3">
      <c r="A8" s="89"/>
      <c r="B8" s="84" t="s">
        <v>106</v>
      </c>
      <c r="C8" s="91"/>
      <c r="D8" s="91"/>
      <c r="E8" s="91"/>
      <c r="F8" s="91"/>
      <c r="G8" s="91"/>
      <c r="H8" s="90"/>
    </row>
    <row r="9" spans="1:8" s="86" customFormat="1" ht="17.25" x14ac:dyDescent="0.3">
      <c r="A9" s="89"/>
      <c r="B9" s="95" t="s">
        <v>175</v>
      </c>
      <c r="C9" s="91"/>
      <c r="D9" s="91"/>
      <c r="E9" s="91"/>
      <c r="F9" s="91"/>
      <c r="G9" s="91"/>
      <c r="H9" s="90"/>
    </row>
    <row r="10" spans="1:8" s="86" customFormat="1" ht="17.25" x14ac:dyDescent="0.3">
      <c r="A10" s="89"/>
      <c r="B10" s="95" t="s">
        <v>107</v>
      </c>
      <c r="C10" s="91"/>
      <c r="D10" s="91"/>
      <c r="E10" s="91"/>
      <c r="F10" s="91"/>
      <c r="G10" s="91"/>
      <c r="H10" s="90"/>
    </row>
    <row r="11" spans="1:8" s="86" customFormat="1" ht="17.25" x14ac:dyDescent="0.3">
      <c r="A11" s="89"/>
      <c r="B11" s="95" t="s">
        <v>108</v>
      </c>
      <c r="C11" s="91"/>
      <c r="D11" s="91"/>
      <c r="E11" s="91"/>
      <c r="F11" s="91"/>
      <c r="G11" s="91"/>
      <c r="H11" s="90"/>
    </row>
    <row r="12" spans="1:8" s="86" customFormat="1" ht="21" customHeight="1" x14ac:dyDescent="0.3">
      <c r="A12" s="89"/>
      <c r="B12" s="84" t="s">
        <v>109</v>
      </c>
      <c r="C12" s="91"/>
      <c r="D12" s="91"/>
      <c r="E12" s="91"/>
      <c r="F12" s="91"/>
      <c r="G12" s="91"/>
      <c r="H12" s="90"/>
    </row>
    <row r="13" spans="1:8" s="86" customFormat="1" ht="17.25" x14ac:dyDescent="0.3">
      <c r="A13" s="89"/>
      <c r="B13" s="95" t="s">
        <v>110</v>
      </c>
      <c r="C13" s="91"/>
      <c r="D13" s="91"/>
      <c r="E13" s="91"/>
      <c r="F13" s="91"/>
      <c r="G13" s="91"/>
      <c r="H13" s="90"/>
    </row>
    <row r="14" spans="1:8" s="86" customFormat="1" ht="18" customHeight="1" x14ac:dyDescent="0.3">
      <c r="A14" s="89"/>
      <c r="B14" s="95" t="s">
        <v>111</v>
      </c>
      <c r="C14" s="91"/>
      <c r="D14" s="91"/>
      <c r="E14" s="91"/>
      <c r="F14" s="91"/>
      <c r="G14" s="91"/>
      <c r="H14" s="90"/>
    </row>
    <row r="15" spans="1:8" s="86" customFormat="1" ht="18" customHeight="1" x14ac:dyDescent="0.3">
      <c r="A15" s="89"/>
      <c r="B15" s="95" t="s">
        <v>112</v>
      </c>
      <c r="C15" s="91"/>
      <c r="D15" s="91"/>
      <c r="E15" s="91"/>
      <c r="F15" s="91"/>
      <c r="G15" s="91"/>
      <c r="H15" s="90"/>
    </row>
    <row r="16" spans="1:8" s="86" customFormat="1" ht="18" customHeight="1" x14ac:dyDescent="0.3">
      <c r="A16" s="89"/>
      <c r="B16" s="95" t="s">
        <v>100</v>
      </c>
      <c r="C16" s="91"/>
      <c r="D16" s="91"/>
      <c r="E16" s="91"/>
      <c r="F16" s="91"/>
      <c r="G16" s="91"/>
      <c r="H16" s="90"/>
    </row>
    <row r="17" spans="1:15" s="86" customFormat="1" ht="18" customHeight="1" x14ac:dyDescent="0.3">
      <c r="A17" s="89"/>
      <c r="B17" s="84" t="s">
        <v>113</v>
      </c>
      <c r="C17" s="91"/>
      <c r="D17" s="91"/>
      <c r="E17" s="91"/>
      <c r="F17" s="91"/>
      <c r="G17" s="91"/>
      <c r="H17" s="90"/>
    </row>
    <row r="18" spans="1:15" s="86" customFormat="1" ht="18" customHeight="1" x14ac:dyDescent="0.3">
      <c r="A18" s="89"/>
      <c r="B18" s="95" t="s">
        <v>114</v>
      </c>
      <c r="C18" s="91"/>
      <c r="D18" s="91"/>
      <c r="E18" s="91"/>
      <c r="F18" s="91"/>
      <c r="G18" s="91"/>
      <c r="H18" s="90"/>
    </row>
    <row r="19" spans="1:15" s="86" customFormat="1" ht="18" customHeight="1" x14ac:dyDescent="0.3">
      <c r="A19" s="89"/>
      <c r="B19" s="95" t="s">
        <v>115</v>
      </c>
      <c r="C19" s="91"/>
      <c r="D19" s="91"/>
      <c r="E19" s="91"/>
      <c r="F19" s="91"/>
      <c r="G19" s="91"/>
      <c r="H19" s="90"/>
    </row>
    <row r="20" spans="1:15" s="86" customFormat="1" ht="18" customHeight="1" x14ac:dyDescent="0.3">
      <c r="A20" s="89"/>
      <c r="B20" s="84" t="s">
        <v>101</v>
      </c>
      <c r="C20" s="91"/>
      <c r="D20" s="91"/>
      <c r="E20" s="91"/>
      <c r="F20" s="91"/>
      <c r="G20" s="91"/>
      <c r="H20" s="90"/>
      <c r="K20" s="71"/>
      <c r="L20" s="3"/>
      <c r="M20" s="15"/>
    </row>
    <row r="21" spans="1:15" s="86" customFormat="1" ht="18" customHeight="1" x14ac:dyDescent="0.3">
      <c r="A21" s="89"/>
      <c r="B21" s="95" t="s">
        <v>102</v>
      </c>
      <c r="C21" s="91"/>
      <c r="D21" s="91"/>
      <c r="E21" s="91"/>
      <c r="F21" s="91"/>
      <c r="G21" s="91"/>
      <c r="H21" s="90"/>
      <c r="K21" s="15"/>
      <c r="L21" s="140"/>
      <c r="M21" s="102"/>
    </row>
    <row r="22" spans="1:15" s="86" customFormat="1" ht="18" customHeight="1" x14ac:dyDescent="0.3">
      <c r="A22" s="89"/>
      <c r="B22" s="95" t="s">
        <v>116</v>
      </c>
      <c r="C22" s="91"/>
      <c r="D22" s="91"/>
      <c r="E22" s="91"/>
      <c r="F22" s="91"/>
      <c r="G22" s="91"/>
      <c r="H22" s="90"/>
      <c r="K22" s="15"/>
      <c r="L22" s="140"/>
      <c r="M22" s="102"/>
    </row>
    <row r="23" spans="1:15" s="86" customFormat="1" ht="23.1" customHeight="1" x14ac:dyDescent="0.3">
      <c r="A23" s="90"/>
      <c r="B23" s="95"/>
      <c r="C23" s="91"/>
      <c r="D23" s="91"/>
      <c r="E23" s="91"/>
      <c r="F23" s="91"/>
      <c r="G23" s="91"/>
      <c r="H23" s="90"/>
      <c r="K23" s="15"/>
      <c r="L23" s="140"/>
      <c r="M23" s="102"/>
    </row>
    <row r="24" spans="1:15" s="86" customFormat="1" ht="17.25" x14ac:dyDescent="0.3">
      <c r="A24" s="84" t="s">
        <v>103</v>
      </c>
      <c r="B24" s="94" t="s">
        <v>117</v>
      </c>
      <c r="C24" s="93"/>
      <c r="D24" s="106">
        <v>2023</v>
      </c>
      <c r="E24" s="107"/>
      <c r="F24" s="106">
        <v>2022</v>
      </c>
      <c r="G24" s="91"/>
      <c r="H24" s="89"/>
      <c r="K24" s="15"/>
      <c r="L24" s="140"/>
      <c r="M24" s="102"/>
    </row>
    <row r="25" spans="1:15" s="86" customFormat="1" ht="17.25" x14ac:dyDescent="0.3">
      <c r="A25" s="84"/>
      <c r="B25" s="104" t="s">
        <v>147</v>
      </c>
      <c r="C25" s="93"/>
      <c r="D25" s="128">
        <f>'Undergrupper 2023'!C109+'Undergrupper 2023'!C111+'Undergrupper 2023'!C112+'Undergrupper 2023'!C113+'Undergrupper 2023'!C117</f>
        <v>485424.59</v>
      </c>
      <c r="E25" s="93"/>
      <c r="F25" s="128">
        <v>395495.58</v>
      </c>
      <c r="G25" s="91"/>
      <c r="H25" s="89"/>
      <c r="K25" s="15"/>
      <c r="L25" s="140"/>
      <c r="M25" s="102"/>
    </row>
    <row r="26" spans="1:15" s="86" customFormat="1" ht="17.25" x14ac:dyDescent="0.3">
      <c r="A26" s="84"/>
      <c r="B26" s="104" t="s">
        <v>164</v>
      </c>
      <c r="C26" s="93"/>
      <c r="D26" s="128">
        <f>'Undergrupper 2023'!C115</f>
        <v>115858</v>
      </c>
      <c r="E26" s="93"/>
      <c r="F26" s="128">
        <v>72818</v>
      </c>
      <c r="G26" s="91"/>
      <c r="H26" s="89"/>
      <c r="K26" s="15"/>
      <c r="L26" s="140"/>
      <c r="M26" s="102"/>
    </row>
    <row r="27" spans="1:15" s="86" customFormat="1" ht="17.25" x14ac:dyDescent="0.3">
      <c r="A27" s="84"/>
      <c r="B27" s="104" t="s">
        <v>148</v>
      </c>
      <c r="C27" s="93"/>
      <c r="D27" s="128">
        <f>'Undergrupper 2023'!C116+'Undergrupper 2023'!C114</f>
        <v>135375</v>
      </c>
      <c r="E27" s="93"/>
      <c r="F27" s="128">
        <v>86229</v>
      </c>
      <c r="G27" s="91"/>
      <c r="H27" s="89"/>
      <c r="K27" s="15"/>
      <c r="L27" s="140"/>
      <c r="M27" s="102"/>
    </row>
    <row r="28" spans="1:15" s="86" customFormat="1" ht="17.25" x14ac:dyDescent="0.3">
      <c r="A28" s="84"/>
      <c r="B28" s="104" t="s">
        <v>140</v>
      </c>
      <c r="C28" s="93"/>
      <c r="D28" s="128">
        <f>'Undergrupper 2023'!C118</f>
        <v>32772.79</v>
      </c>
      <c r="E28" s="93"/>
      <c r="F28" s="128">
        <v>26850.530000000002</v>
      </c>
      <c r="G28" s="91"/>
      <c r="H28" s="89"/>
      <c r="K28" s="15"/>
      <c r="L28" s="140"/>
      <c r="M28" s="102"/>
    </row>
    <row r="29" spans="1:15" s="86" customFormat="1" ht="17.25" x14ac:dyDescent="0.3">
      <c r="A29" s="84"/>
      <c r="B29" s="104" t="s">
        <v>137</v>
      </c>
      <c r="C29" s="93"/>
      <c r="D29" s="128">
        <f>'Undergrupper 2023'!C119</f>
        <v>21216</v>
      </c>
      <c r="E29" s="93"/>
      <c r="F29" s="128">
        <v>11972</v>
      </c>
      <c r="G29" s="91"/>
      <c r="H29" s="89"/>
      <c r="K29" s="15"/>
      <c r="L29" s="140"/>
      <c r="M29" s="102"/>
    </row>
    <row r="30" spans="1:15" s="86" customFormat="1" ht="17.25" x14ac:dyDescent="0.3">
      <c r="A30" s="84"/>
      <c r="B30" s="104" t="s">
        <v>138</v>
      </c>
      <c r="C30" s="93"/>
      <c r="D30" s="129">
        <f>'Undergrupper 2023'!C120</f>
        <v>73422</v>
      </c>
      <c r="E30" s="93"/>
      <c r="F30" s="129">
        <v>90124</v>
      </c>
      <c r="G30" s="91"/>
      <c r="H30" s="89"/>
      <c r="K30" s="15"/>
      <c r="L30" s="140"/>
      <c r="M30" s="102"/>
      <c r="O30" s="141" t="s">
        <v>179</v>
      </c>
    </row>
    <row r="31" spans="1:15" s="86" customFormat="1" ht="17.25" x14ac:dyDescent="0.3">
      <c r="A31" s="84"/>
      <c r="B31" s="104" t="s">
        <v>149</v>
      </c>
      <c r="C31" s="93"/>
      <c r="D31" s="128">
        <v>0</v>
      </c>
      <c r="E31" s="93"/>
      <c r="F31" s="128">
        <v>0</v>
      </c>
      <c r="G31" s="91"/>
      <c r="H31" s="89"/>
      <c r="K31" s="15"/>
      <c r="L31" s="140"/>
      <c r="M31" s="102"/>
    </row>
    <row r="32" spans="1:15" s="86" customFormat="1" ht="17.25" x14ac:dyDescent="0.3">
      <c r="A32" s="84"/>
      <c r="B32" s="104" t="s">
        <v>139</v>
      </c>
      <c r="C32" s="93"/>
      <c r="D32" s="128">
        <f>'Undergrupper 2023'!C122</f>
        <v>119000</v>
      </c>
      <c r="E32" s="93"/>
      <c r="F32" s="128">
        <v>49500</v>
      </c>
      <c r="G32" s="91"/>
      <c r="H32" s="89"/>
      <c r="K32" s="15"/>
      <c r="L32" s="140"/>
      <c r="M32" s="102"/>
    </row>
    <row r="33" spans="1:13" s="86" customFormat="1" ht="17.25" x14ac:dyDescent="0.3">
      <c r="A33" s="84"/>
      <c r="B33" s="108" t="s">
        <v>141</v>
      </c>
      <c r="C33" s="112"/>
      <c r="D33" s="130">
        <f>'Undergrupper 2023'!C123</f>
        <v>27059.200000000001</v>
      </c>
      <c r="E33" s="112"/>
      <c r="F33" s="130">
        <v>33308.15</v>
      </c>
      <c r="G33" s="91"/>
      <c r="H33" s="89"/>
      <c r="K33" s="15"/>
      <c r="L33" s="140"/>
      <c r="M33" s="102"/>
    </row>
    <row r="34" spans="1:13" s="86" customFormat="1" ht="17.25" x14ac:dyDescent="0.3">
      <c r="A34" s="84"/>
      <c r="B34" s="94" t="s">
        <v>150</v>
      </c>
      <c r="C34" s="105"/>
      <c r="D34" s="105">
        <f>SUM(D25:D33)</f>
        <v>1010127.5800000001</v>
      </c>
      <c r="E34" s="105"/>
      <c r="F34" s="105">
        <f>SUM(F25:F33)</f>
        <v>766297.26000000013</v>
      </c>
      <c r="G34" s="91"/>
      <c r="H34" s="89"/>
      <c r="K34" s="15"/>
      <c r="L34" s="2"/>
      <c r="M34" s="102"/>
    </row>
    <row r="35" spans="1:13" s="86" customFormat="1" ht="17.25" x14ac:dyDescent="0.3">
      <c r="A35" s="84"/>
      <c r="B35" s="104"/>
      <c r="C35" s="93"/>
      <c r="D35" s="93"/>
      <c r="E35" s="93"/>
      <c r="F35" s="93"/>
      <c r="G35" s="91"/>
      <c r="H35" s="89"/>
      <c r="K35" s="15"/>
      <c r="L35" s="2"/>
      <c r="M35" s="102"/>
    </row>
    <row r="36" spans="1:13" s="86" customFormat="1" ht="17.25" x14ac:dyDescent="0.3">
      <c r="A36" s="84"/>
      <c r="B36" s="109" t="s">
        <v>151</v>
      </c>
      <c r="C36" s="93"/>
      <c r="D36" s="110"/>
      <c r="E36" s="93"/>
      <c r="F36" s="110"/>
      <c r="G36" s="91"/>
      <c r="H36" s="89"/>
      <c r="K36" s="3"/>
      <c r="L36" s="2"/>
      <c r="M36" s="103"/>
    </row>
    <row r="37" spans="1:13" s="86" customFormat="1" ht="17.25" x14ac:dyDescent="0.3">
      <c r="A37" s="84"/>
      <c r="B37" s="104" t="s">
        <v>152</v>
      </c>
      <c r="C37" s="93"/>
      <c r="D37" s="128">
        <v>392007</v>
      </c>
      <c r="E37" s="128"/>
      <c r="F37" s="128">
        <f>303973+31005</f>
        <v>334978</v>
      </c>
      <c r="G37" s="91"/>
      <c r="H37" s="89"/>
      <c r="K37" s="3"/>
      <c r="L37" s="2"/>
      <c r="M37" s="103"/>
    </row>
    <row r="38" spans="1:13" s="86" customFormat="1" ht="17.25" hidden="1" x14ac:dyDescent="0.3">
      <c r="A38" s="84"/>
      <c r="B38" s="104" t="s">
        <v>153</v>
      </c>
      <c r="C38" s="93"/>
      <c r="D38" s="93">
        <v>0</v>
      </c>
      <c r="E38" s="93"/>
      <c r="F38" s="93">
        <v>0</v>
      </c>
      <c r="G38" s="91"/>
      <c r="H38" s="89"/>
    </row>
    <row r="39" spans="1:13" s="86" customFormat="1" ht="17.25" x14ac:dyDescent="0.3">
      <c r="A39" s="84"/>
      <c r="B39" s="104" t="s">
        <v>145</v>
      </c>
      <c r="C39" s="93"/>
      <c r="D39" s="93">
        <v>0</v>
      </c>
      <c r="E39" s="93"/>
      <c r="F39" s="93">
        <v>0</v>
      </c>
      <c r="G39" s="91"/>
      <c r="H39" s="89"/>
    </row>
    <row r="40" spans="1:13" s="86" customFormat="1" ht="17.25" x14ac:dyDescent="0.3">
      <c r="A40" s="84"/>
      <c r="B40" s="104"/>
      <c r="C40" s="93"/>
      <c r="D40" s="93"/>
      <c r="E40" s="93"/>
      <c r="F40" s="93"/>
      <c r="G40" s="91"/>
      <c r="H40" s="89"/>
    </row>
    <row r="41" spans="1:13" s="86" customFormat="1" ht="17.25" x14ac:dyDescent="0.3">
      <c r="A41" s="84"/>
      <c r="B41" s="109" t="s">
        <v>154</v>
      </c>
      <c r="C41" s="93"/>
      <c r="D41" s="106">
        <f>D24</f>
        <v>2023</v>
      </c>
      <c r="E41" s="105"/>
      <c r="F41" s="106">
        <f>F24</f>
        <v>2022</v>
      </c>
      <c r="G41" s="91"/>
      <c r="H41" s="89"/>
    </row>
    <row r="42" spans="1:13" s="86" customFormat="1" ht="17.25" hidden="1" x14ac:dyDescent="0.3">
      <c r="A42" s="84"/>
      <c r="B42" s="104" t="s">
        <v>156</v>
      </c>
      <c r="C42" s="93"/>
      <c r="D42" s="93">
        <v>0</v>
      </c>
      <c r="E42" s="93"/>
      <c r="F42" s="93">
        <v>0</v>
      </c>
      <c r="G42" s="91"/>
      <c r="H42" s="89"/>
    </row>
    <row r="43" spans="1:13" s="86" customFormat="1" ht="17.25" hidden="1" x14ac:dyDescent="0.3">
      <c r="A43" s="84"/>
      <c r="B43" s="104" t="s">
        <v>157</v>
      </c>
      <c r="C43" s="93"/>
      <c r="D43" s="93">
        <v>0</v>
      </c>
      <c r="E43" s="93"/>
      <c r="F43" s="93">
        <v>0</v>
      </c>
      <c r="G43" s="91"/>
      <c r="H43" s="89"/>
    </row>
    <row r="44" spans="1:13" s="86" customFormat="1" ht="17.25" hidden="1" x14ac:dyDescent="0.3">
      <c r="A44" s="84"/>
      <c r="B44" s="104" t="s">
        <v>158</v>
      </c>
      <c r="C44" s="93"/>
      <c r="D44" s="93">
        <v>0</v>
      </c>
      <c r="E44" s="93"/>
      <c r="F44" s="93">
        <v>0</v>
      </c>
      <c r="G44" s="91"/>
      <c r="H44" s="89"/>
    </row>
    <row r="45" spans="1:13" s="86" customFormat="1" ht="17.25" x14ac:dyDescent="0.3">
      <c r="A45" s="84"/>
      <c r="B45" s="104" t="s">
        <v>159</v>
      </c>
      <c r="C45" s="93"/>
      <c r="D45" s="93">
        <v>13000</v>
      </c>
      <c r="E45" s="93"/>
      <c r="F45" s="93">
        <v>13000</v>
      </c>
      <c r="G45" s="91"/>
      <c r="H45" s="89"/>
    </row>
    <row r="46" spans="1:13" s="86" customFormat="1" ht="17.25" x14ac:dyDescent="0.3">
      <c r="A46" s="84"/>
      <c r="B46" s="104"/>
      <c r="C46" s="93"/>
      <c r="D46" s="129"/>
      <c r="E46" s="93"/>
      <c r="F46" s="129"/>
      <c r="G46" s="91"/>
      <c r="H46" s="89"/>
    </row>
    <row r="47" spans="1:13" s="86" customFormat="1" ht="27.75" customHeight="1" x14ac:dyDescent="0.3">
      <c r="A47" s="90"/>
      <c r="B47" s="104"/>
      <c r="C47" s="93"/>
      <c r="E47" s="93"/>
      <c r="F47" s="93"/>
      <c r="G47" s="91"/>
      <c r="H47" s="90"/>
      <c r="J47" s="93"/>
    </row>
    <row r="48" spans="1:13" s="86" customFormat="1" ht="17.25" x14ac:dyDescent="0.3">
      <c r="A48" s="84" t="s">
        <v>104</v>
      </c>
      <c r="B48" s="84" t="s">
        <v>120</v>
      </c>
      <c r="C48" s="91"/>
      <c r="D48" s="91"/>
      <c r="E48" s="91"/>
      <c r="F48" s="91"/>
      <c r="G48" s="91"/>
      <c r="H48" s="89"/>
    </row>
    <row r="49" spans="1:8" s="86" customFormat="1" ht="17.25" x14ac:dyDescent="0.3">
      <c r="A49" s="89"/>
      <c r="B49" s="151" t="s">
        <v>183</v>
      </c>
      <c r="C49" s="152"/>
      <c r="D49" s="152"/>
      <c r="E49" s="152"/>
      <c r="F49" s="152"/>
      <c r="G49" s="91"/>
      <c r="H49" s="89"/>
    </row>
    <row r="50" spans="1:8" s="86" customFormat="1" ht="17.25" x14ac:dyDescent="0.3">
      <c r="A50" s="89"/>
      <c r="B50" s="95"/>
      <c r="C50" s="91"/>
      <c r="D50" s="91"/>
      <c r="E50" s="91"/>
      <c r="F50" s="91"/>
      <c r="G50" s="91"/>
      <c r="H50" s="89"/>
    </row>
    <row r="51" spans="1:8" x14ac:dyDescent="0.2">
      <c r="B51" s="142"/>
    </row>
  </sheetData>
  <printOptions horizontalCentered="1"/>
  <pageMargins left="0.39374999999999999" right="0.39374999999999999" top="0.64" bottom="0.31527777777777777" header="0" footer="0"/>
  <pageSetup paperSize="9" scale="84" firstPageNumber="7" orientation="portrait" r:id="rId1"/>
  <headerFooter alignWithMargins="0"/>
  <rowBreaks count="1" manualBreakCount="1">
    <brk id="809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38"/>
  <sheetViews>
    <sheetView workbookViewId="0">
      <selection activeCell="B34" sqref="B34"/>
    </sheetView>
  </sheetViews>
  <sheetFormatPr baseColWidth="10" defaultRowHeight="12.75" x14ac:dyDescent="0.2"/>
  <cols>
    <col min="1" max="1" width="18.28515625" customWidth="1"/>
    <col min="2" max="3" width="13.28515625" customWidth="1"/>
    <col min="4" max="4" width="14.7109375" customWidth="1"/>
    <col min="5" max="5" width="17.7109375" customWidth="1"/>
  </cols>
  <sheetData>
    <row r="2" spans="1:7" x14ac:dyDescent="0.2">
      <c r="B2" s="74">
        <v>2022</v>
      </c>
    </row>
    <row r="3" spans="1:7" x14ac:dyDescent="0.2">
      <c r="B3" s="75" t="s">
        <v>95</v>
      </c>
      <c r="C3" s="100" t="s">
        <v>177</v>
      </c>
      <c r="D3" s="75" t="s">
        <v>92</v>
      </c>
    </row>
    <row r="4" spans="1:7" x14ac:dyDescent="0.2">
      <c r="A4" t="s">
        <v>41</v>
      </c>
      <c r="B4" s="99">
        <f>'Undergrupper 2023'!F46</f>
        <v>-121259</v>
      </c>
      <c r="C4" s="99">
        <f>'Undergrupper 2023'!G46</f>
        <v>47706</v>
      </c>
      <c r="D4" s="99">
        <f t="shared" ref="D4:D15" si="0">B4+C4</f>
        <v>-73553</v>
      </c>
    </row>
    <row r="5" spans="1:7" x14ac:dyDescent="0.2">
      <c r="A5" s="75" t="s">
        <v>43</v>
      </c>
      <c r="B5" s="99">
        <f>'Undergrupper 2023'!O42</f>
        <v>-131732</v>
      </c>
      <c r="C5" s="99">
        <f>'Undergrupper 2023'!P42</f>
        <v>-235571</v>
      </c>
      <c r="D5" s="99">
        <f t="shared" si="0"/>
        <v>-367303</v>
      </c>
    </row>
    <row r="6" spans="1:7" x14ac:dyDescent="0.2">
      <c r="A6" s="75" t="s">
        <v>44</v>
      </c>
      <c r="B6" s="99">
        <f>'Undergrupper 2023'!R42</f>
        <v>325956</v>
      </c>
      <c r="C6" s="99">
        <f>'Undergrupper 2023'!S42</f>
        <v>0</v>
      </c>
      <c r="D6" s="99">
        <f t="shared" si="0"/>
        <v>325956</v>
      </c>
    </row>
    <row r="7" spans="1:7" x14ac:dyDescent="0.2">
      <c r="A7" s="75" t="s">
        <v>45</v>
      </c>
      <c r="B7" s="99">
        <f>'Undergrupper 2023'!I42</f>
        <v>10839</v>
      </c>
      <c r="C7" s="99">
        <f>'Undergrupper 2023'!J42</f>
        <v>-50024</v>
      </c>
      <c r="D7" s="99">
        <f t="shared" si="0"/>
        <v>-39185</v>
      </c>
    </row>
    <row r="8" spans="1:7" x14ac:dyDescent="0.2">
      <c r="A8" s="100" t="s">
        <v>49</v>
      </c>
      <c r="B8" s="99">
        <f>'Undergrupper 2023'!AD42</f>
        <v>12950</v>
      </c>
      <c r="C8" s="99">
        <f>'Undergrupper 2023'!AE42</f>
        <v>0</v>
      </c>
      <c r="D8" s="99">
        <f t="shared" si="0"/>
        <v>12950</v>
      </c>
    </row>
    <row r="9" spans="1:7" x14ac:dyDescent="0.2">
      <c r="A9" s="75" t="s">
        <v>90</v>
      </c>
      <c r="B9" s="99">
        <f>'Undergrupper 2023'!X42</f>
        <v>11898</v>
      </c>
      <c r="C9" s="99">
        <f>'Undergrupper 2023'!Y42</f>
        <v>0</v>
      </c>
      <c r="D9" s="99">
        <f t="shared" si="0"/>
        <v>11898</v>
      </c>
    </row>
    <row r="10" spans="1:7" x14ac:dyDescent="0.2">
      <c r="A10" s="75" t="s">
        <v>48</v>
      </c>
      <c r="B10" s="99">
        <f>'Undergrupper 2023'!AA42</f>
        <v>18223</v>
      </c>
      <c r="C10" s="99">
        <f>'Undergrupper 2023'!AB42</f>
        <v>0</v>
      </c>
      <c r="D10" s="99">
        <f t="shared" si="0"/>
        <v>18223</v>
      </c>
    </row>
    <row r="11" spans="1:7" x14ac:dyDescent="0.2">
      <c r="A11" s="100" t="s">
        <v>51</v>
      </c>
      <c r="B11" s="99">
        <f>'Undergrupper 2023'!U42</f>
        <v>1207</v>
      </c>
      <c r="C11" s="99">
        <f>'Undergrupper 2023'!V42</f>
        <v>-20280</v>
      </c>
      <c r="D11" s="99">
        <f t="shared" si="0"/>
        <v>-19073</v>
      </c>
    </row>
    <row r="12" spans="1:7" x14ac:dyDescent="0.2">
      <c r="A12" s="75"/>
      <c r="B12" s="99"/>
      <c r="D12" s="99">
        <f t="shared" si="0"/>
        <v>0</v>
      </c>
    </row>
    <row r="13" spans="1:7" x14ac:dyDescent="0.2">
      <c r="A13" s="100"/>
      <c r="B13" s="99"/>
      <c r="D13" s="99">
        <f t="shared" si="0"/>
        <v>0</v>
      </c>
    </row>
    <row r="14" spans="1:7" x14ac:dyDescent="0.2">
      <c r="A14" s="100"/>
      <c r="B14" s="99"/>
      <c r="D14" s="99">
        <f t="shared" si="0"/>
        <v>0</v>
      </c>
    </row>
    <row r="15" spans="1:7" x14ac:dyDescent="0.2">
      <c r="A15" s="100"/>
      <c r="B15" s="99"/>
      <c r="D15" s="99">
        <f t="shared" si="0"/>
        <v>0</v>
      </c>
      <c r="F15" s="137" t="s">
        <v>178</v>
      </c>
    </row>
    <row r="16" spans="1:7" x14ac:dyDescent="0.2">
      <c r="A16" s="75" t="s">
        <v>91</v>
      </c>
      <c r="B16" s="99">
        <f>SUM(B4:B15)</f>
        <v>128082</v>
      </c>
      <c r="C16" s="99">
        <f>SUM(C4:C15)</f>
        <v>-258169</v>
      </c>
      <c r="D16">
        <f>SUM(D4:D15)</f>
        <v>-130087</v>
      </c>
      <c r="E16" s="99">
        <f>'2022 Resultat og balanse'!C41</f>
        <v>-130088</v>
      </c>
      <c r="F16" s="99">
        <f>D16-E16</f>
        <v>1</v>
      </c>
      <c r="G16" s="99"/>
    </row>
    <row r="21" spans="1:5" x14ac:dyDescent="0.2">
      <c r="A21" s="74" t="s">
        <v>125</v>
      </c>
      <c r="B21" s="74" t="s">
        <v>126</v>
      </c>
      <c r="C21" s="74" t="s">
        <v>127</v>
      </c>
      <c r="D21" s="74" t="s">
        <v>128</v>
      </c>
    </row>
    <row r="22" spans="1:5" x14ac:dyDescent="0.2">
      <c r="A22" t="s">
        <v>41</v>
      </c>
      <c r="B22" s="99">
        <f>'Undergrupper 2022'!H83</f>
        <v>2218752</v>
      </c>
      <c r="C22" s="99">
        <f>'Undergrupper 2023'!H83</f>
        <v>2097494</v>
      </c>
      <c r="D22" s="99">
        <f t="shared" ref="D22:D29" si="1">C22-B22</f>
        <v>-121258</v>
      </c>
      <c r="E22" s="101"/>
    </row>
    <row r="23" spans="1:5" x14ac:dyDescent="0.2">
      <c r="A23" s="75" t="s">
        <v>43</v>
      </c>
      <c r="B23" s="99">
        <f>'Undergrupper 2022'!Q83</f>
        <v>453823</v>
      </c>
      <c r="C23" s="99">
        <f>'Undergrupper 2023'!Q83</f>
        <v>322091</v>
      </c>
      <c r="D23" s="99">
        <f t="shared" si="1"/>
        <v>-131732</v>
      </c>
      <c r="E23" s="99"/>
    </row>
    <row r="24" spans="1:5" x14ac:dyDescent="0.2">
      <c r="A24" s="75" t="s">
        <v>44</v>
      </c>
      <c r="B24" s="99">
        <f>'Undergrupper 2022'!T83</f>
        <v>1219338</v>
      </c>
      <c r="C24" s="99">
        <f>'Undergrupper 2023'!T83</f>
        <v>1287125</v>
      </c>
      <c r="D24" s="99">
        <f t="shared" si="1"/>
        <v>67787</v>
      </c>
    </row>
    <row r="25" spans="1:5" x14ac:dyDescent="0.2">
      <c r="A25" s="75" t="s">
        <v>45</v>
      </c>
      <c r="B25" s="99">
        <f>'Undergrupper 2022'!K83</f>
        <v>302742</v>
      </c>
      <c r="C25" s="99">
        <f>'Undergrupper 2023'!K83</f>
        <v>313581</v>
      </c>
      <c r="D25" s="99">
        <f t="shared" si="1"/>
        <v>10839</v>
      </c>
    </row>
    <row r="26" spans="1:5" x14ac:dyDescent="0.2">
      <c r="A26" s="100" t="s">
        <v>49</v>
      </c>
      <c r="B26" s="99">
        <f>'Undergrupper 2022'!AD83</f>
        <v>30172</v>
      </c>
      <c r="C26" s="99">
        <f>'Undergrupper 2023'!AD83</f>
        <v>43121</v>
      </c>
      <c r="D26" s="99">
        <f t="shared" si="1"/>
        <v>12949</v>
      </c>
    </row>
    <row r="27" spans="1:5" x14ac:dyDescent="0.2">
      <c r="A27" s="75" t="s">
        <v>90</v>
      </c>
      <c r="B27" s="99">
        <f>'Undergrupper 2022'!Z83</f>
        <v>122396</v>
      </c>
      <c r="C27" s="99">
        <f>'Undergrupper 2023'!Z83</f>
        <v>134294</v>
      </c>
      <c r="D27" s="99">
        <f t="shared" si="1"/>
        <v>11898</v>
      </c>
    </row>
    <row r="28" spans="1:5" x14ac:dyDescent="0.2">
      <c r="A28" s="75" t="s">
        <v>48</v>
      </c>
      <c r="B28" s="99">
        <f>'Undergrupper 2022'!AC83</f>
        <v>92124</v>
      </c>
      <c r="C28" s="99">
        <f>'Undergrupper 2023'!AC83</f>
        <v>110347</v>
      </c>
      <c r="D28" s="99">
        <f t="shared" si="1"/>
        <v>18223</v>
      </c>
    </row>
    <row r="29" spans="1:5" x14ac:dyDescent="0.2">
      <c r="A29" s="100" t="s">
        <v>51</v>
      </c>
      <c r="B29" s="99">
        <f>'Undergrupper 2022'!W83</f>
        <v>84176</v>
      </c>
      <c r="C29" s="99">
        <f>'Undergrupper 2023'!W83</f>
        <v>85382</v>
      </c>
      <c r="D29" s="99">
        <f t="shared" si="1"/>
        <v>1206</v>
      </c>
    </row>
    <row r="30" spans="1:5" x14ac:dyDescent="0.2">
      <c r="A30" s="75"/>
      <c r="B30" s="99"/>
      <c r="C30" s="99"/>
      <c r="D30" s="99">
        <f t="shared" ref="D30:D33" si="2">B30-C30</f>
        <v>0</v>
      </c>
    </row>
    <row r="31" spans="1:5" x14ac:dyDescent="0.2">
      <c r="A31" s="100"/>
      <c r="B31" s="99"/>
      <c r="C31" s="99"/>
      <c r="D31" s="99">
        <f t="shared" si="2"/>
        <v>0</v>
      </c>
    </row>
    <row r="32" spans="1:5" x14ac:dyDescent="0.2">
      <c r="A32" s="100"/>
      <c r="B32" s="99"/>
      <c r="C32" s="99"/>
      <c r="D32" s="99">
        <f t="shared" si="2"/>
        <v>0</v>
      </c>
    </row>
    <row r="33" spans="1:7" x14ac:dyDescent="0.2">
      <c r="A33" s="100"/>
      <c r="B33" s="99"/>
      <c r="C33" s="99"/>
      <c r="D33" s="99">
        <f t="shared" si="2"/>
        <v>0</v>
      </c>
    </row>
    <row r="34" spans="1:7" x14ac:dyDescent="0.2">
      <c r="A34" s="74" t="s">
        <v>91</v>
      </c>
      <c r="B34" s="139">
        <f>SUM(B22:B33)</f>
        <v>4523523</v>
      </c>
      <c r="C34" s="139">
        <f>SUM(C22:C33)</f>
        <v>4393435</v>
      </c>
      <c r="D34" s="139">
        <f>SUM(D22:D33)</f>
        <v>-130088</v>
      </c>
      <c r="F34" s="101">
        <f>D34</f>
        <v>-130088</v>
      </c>
      <c r="G34" s="101">
        <f>F34-D16</f>
        <v>-1</v>
      </c>
    </row>
    <row r="36" spans="1:7" x14ac:dyDescent="0.2">
      <c r="B36" s="99">
        <f>'2022 Resultat og balanse'!D88</f>
        <v>4523523</v>
      </c>
      <c r="C36" s="99">
        <f>'2022 Resultat og balanse'!C88</f>
        <v>4393435</v>
      </c>
    </row>
    <row r="38" spans="1:7" x14ac:dyDescent="0.2">
      <c r="A38" s="100" t="s">
        <v>129</v>
      </c>
      <c r="B38" s="101">
        <f>B34-B36</f>
        <v>0</v>
      </c>
      <c r="C38" s="101">
        <f>C34-C36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1B492-DAC6-44D0-9EAE-A9526DFD554A}">
  <sheetPr>
    <pageSetUpPr fitToPage="1"/>
  </sheetPr>
  <dimension ref="A1:IA164"/>
  <sheetViews>
    <sheetView zoomScaleNormal="100" workbookViewId="0">
      <pane xSplit="2" ySplit="4" topLeftCell="C98" activePane="bottomRight" state="frozen"/>
      <selection pane="topRight" activeCell="C1" sqref="C1"/>
      <selection pane="bottomLeft" activeCell="A5" sqref="A5"/>
      <selection pane="bottomRight" activeCell="F109" sqref="F109"/>
    </sheetView>
  </sheetViews>
  <sheetFormatPr baseColWidth="10" defaultColWidth="12.42578125" defaultRowHeight="15" x14ac:dyDescent="0.2"/>
  <cols>
    <col min="1" max="1" width="44.7109375" style="3" customWidth="1"/>
    <col min="2" max="2" width="9" style="3" hidden="1" customWidth="1"/>
    <col min="3" max="3" width="16.28515625" style="3" customWidth="1"/>
    <col min="4" max="4" width="16.28515625" style="3" hidden="1" customWidth="1"/>
    <col min="5" max="5" width="12.42578125" style="3" customWidth="1"/>
    <col min="6" max="6" width="14.85546875" style="3" customWidth="1"/>
    <col min="7" max="7" width="15.85546875" style="3" customWidth="1"/>
    <col min="8" max="8" width="14.85546875" style="3" customWidth="1"/>
    <col min="9" max="9" width="15.5703125" style="3" bestFit="1" customWidth="1"/>
    <col min="10" max="10" width="15.85546875" style="3" customWidth="1"/>
    <col min="11" max="11" width="14" style="3" bestFit="1" customWidth="1"/>
    <col min="12" max="12" width="14.85546875" style="3" hidden="1" customWidth="1"/>
    <col min="13" max="13" width="10.85546875" style="3" hidden="1" customWidth="1"/>
    <col min="14" max="14" width="14.85546875" style="3" hidden="1" customWidth="1"/>
    <col min="15" max="15" width="14.85546875" style="3" customWidth="1"/>
    <col min="16" max="16" width="13" style="3" customWidth="1"/>
    <col min="17" max="17" width="14.85546875" style="3" customWidth="1"/>
    <col min="18" max="20" width="13.42578125" style="3" customWidth="1"/>
    <col min="21" max="21" width="13.42578125" style="3" bestFit="1" customWidth="1"/>
    <col min="22" max="22" width="10.85546875" style="3" bestFit="1" customWidth="1"/>
    <col min="23" max="23" width="13.42578125" style="3" bestFit="1" customWidth="1"/>
    <col min="24" max="24" width="12.5703125" style="3" bestFit="1" customWidth="1"/>
    <col min="25" max="25" width="10.85546875" style="3" bestFit="1" customWidth="1"/>
    <col min="26" max="26" width="12.5703125" style="3" bestFit="1" customWidth="1"/>
    <col min="27" max="27" width="11.5703125" style="3" bestFit="1" customWidth="1"/>
    <col min="28" max="28" width="10.85546875" style="3" bestFit="1" customWidth="1"/>
    <col min="29" max="29" width="16" style="3" customWidth="1"/>
    <col min="30" max="30" width="10.5703125" style="3" customWidth="1"/>
    <col min="31" max="31" width="9" style="3" customWidth="1"/>
    <col min="32" max="32" width="12.140625" style="3" customWidth="1"/>
    <col min="33" max="41" width="9" style="3" hidden="1" customWidth="1"/>
    <col min="42" max="43" width="33" style="3" customWidth="1"/>
    <col min="44" max="235" width="12.42578125" style="3" customWidth="1"/>
    <col min="236" max="16384" width="12.42578125" style="58"/>
  </cols>
  <sheetData>
    <row r="1" spans="1:41" s="58" customFormat="1" ht="30" x14ac:dyDescent="0.4">
      <c r="A1" s="1" t="s">
        <v>39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s="58" customFormat="1" ht="6.95" customHeight="1" x14ac:dyDescent="0.2">
      <c r="A2" s="3"/>
      <c r="B2" s="2"/>
      <c r="C2" s="2"/>
      <c r="D2" s="2"/>
      <c r="E2" s="3"/>
      <c r="F2" s="3"/>
      <c r="G2" s="3"/>
      <c r="H2" s="3"/>
      <c r="I2" s="3"/>
      <c r="J2" s="123"/>
      <c r="K2" s="3"/>
      <c r="L2" s="3"/>
      <c r="M2" s="3"/>
      <c r="N2" s="3"/>
      <c r="O2" s="3"/>
      <c r="P2" s="123"/>
      <c r="Q2" s="3"/>
      <c r="R2" s="3"/>
      <c r="S2" s="12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s="58" customFormat="1" x14ac:dyDescent="0.2">
      <c r="A3" s="4" t="s">
        <v>0</v>
      </c>
      <c r="B3" s="154"/>
      <c r="C3" s="154"/>
      <c r="D3" s="154"/>
      <c r="E3" s="3"/>
      <c r="F3" s="162" t="s">
        <v>41</v>
      </c>
      <c r="G3" s="162"/>
      <c r="H3" s="162"/>
      <c r="I3" s="163" t="s">
        <v>45</v>
      </c>
      <c r="J3" s="163"/>
      <c r="K3" s="163"/>
      <c r="L3" s="162" t="s">
        <v>172</v>
      </c>
      <c r="M3" s="162"/>
      <c r="N3" s="162"/>
      <c r="O3" s="163" t="s">
        <v>43</v>
      </c>
      <c r="P3" s="163"/>
      <c r="Q3" s="163"/>
      <c r="R3" s="162" t="s">
        <v>44</v>
      </c>
      <c r="S3" s="162"/>
      <c r="T3" s="162"/>
      <c r="U3" s="163" t="s">
        <v>51</v>
      </c>
      <c r="V3" s="163"/>
      <c r="W3" s="163"/>
      <c r="X3" s="162" t="s">
        <v>161</v>
      </c>
      <c r="Y3" s="162"/>
      <c r="Z3" s="162"/>
      <c r="AA3" s="163" t="s">
        <v>48</v>
      </c>
      <c r="AB3" s="163"/>
      <c r="AC3" s="163"/>
      <c r="AD3" s="162" t="s">
        <v>49</v>
      </c>
      <c r="AE3" s="162"/>
      <c r="AF3" s="162"/>
      <c r="AG3" s="163"/>
      <c r="AH3" s="163"/>
      <c r="AI3" s="163"/>
      <c r="AJ3" s="162"/>
      <c r="AK3" s="162"/>
      <c r="AL3" s="162"/>
      <c r="AM3" s="163"/>
      <c r="AN3" s="163"/>
      <c r="AO3" s="163"/>
    </row>
    <row r="4" spans="1:41" s="58" customFormat="1" x14ac:dyDescent="0.2">
      <c r="A4" s="6" t="s">
        <v>1</v>
      </c>
      <c r="B4" s="154"/>
      <c r="C4" s="7">
        <v>2023</v>
      </c>
      <c r="D4" s="8" t="s">
        <v>2</v>
      </c>
      <c r="E4" s="3"/>
      <c r="F4" s="62">
        <f>$C$4</f>
        <v>2023</v>
      </c>
      <c r="G4" s="63" t="s">
        <v>38</v>
      </c>
      <c r="H4" s="63" t="s">
        <v>40</v>
      </c>
      <c r="I4" s="61">
        <f>F4</f>
        <v>2023</v>
      </c>
      <c r="J4" s="60" t="s">
        <v>38</v>
      </c>
      <c r="K4" s="60" t="s">
        <v>40</v>
      </c>
      <c r="L4" s="62">
        <f>F4</f>
        <v>2023</v>
      </c>
      <c r="M4" s="63" t="s">
        <v>38</v>
      </c>
      <c r="N4" s="63" t="s">
        <v>40</v>
      </c>
      <c r="O4" s="61">
        <f>F4</f>
        <v>2023</v>
      </c>
      <c r="P4" s="60" t="s">
        <v>38</v>
      </c>
      <c r="Q4" s="60" t="s">
        <v>40</v>
      </c>
      <c r="R4" s="62">
        <f>F4</f>
        <v>2023</v>
      </c>
      <c r="S4" s="63" t="s">
        <v>38</v>
      </c>
      <c r="T4" s="63" t="s">
        <v>40</v>
      </c>
      <c r="U4" s="61">
        <f>F4</f>
        <v>2023</v>
      </c>
      <c r="V4" s="60" t="s">
        <v>38</v>
      </c>
      <c r="W4" s="60" t="s">
        <v>40</v>
      </c>
      <c r="X4" s="62">
        <f>F4</f>
        <v>2023</v>
      </c>
      <c r="Y4" s="63" t="s">
        <v>38</v>
      </c>
      <c r="Z4" s="63" t="s">
        <v>40</v>
      </c>
      <c r="AA4" s="61">
        <f>F4</f>
        <v>2023</v>
      </c>
      <c r="AB4" s="60" t="s">
        <v>38</v>
      </c>
      <c r="AC4" s="60" t="s">
        <v>40</v>
      </c>
      <c r="AD4" s="62">
        <f>F4</f>
        <v>2023</v>
      </c>
      <c r="AE4" s="63" t="s">
        <v>38</v>
      </c>
      <c r="AF4" s="63" t="s">
        <v>40</v>
      </c>
      <c r="AG4" s="61"/>
      <c r="AH4" s="60" t="s">
        <v>38</v>
      </c>
      <c r="AI4" s="60" t="s">
        <v>40</v>
      </c>
      <c r="AJ4" s="62"/>
      <c r="AK4" s="63" t="s">
        <v>38</v>
      </c>
      <c r="AL4" s="63" t="s">
        <v>40</v>
      </c>
      <c r="AM4" s="61"/>
      <c r="AN4" s="60" t="s">
        <v>38</v>
      </c>
      <c r="AO4" s="60" t="s">
        <v>40</v>
      </c>
    </row>
    <row r="5" spans="1:41" s="58" customFormat="1" ht="17.100000000000001" customHeight="1" x14ac:dyDescent="0.25">
      <c r="A5" s="9" t="s">
        <v>3</v>
      </c>
      <c r="B5" s="10" t="s">
        <v>4</v>
      </c>
      <c r="C5" s="11"/>
      <c r="D5" s="11" t="s">
        <v>2</v>
      </c>
      <c r="E5" s="3"/>
      <c r="F5" s="65"/>
      <c r="G5" s="65"/>
      <c r="H5" s="65"/>
      <c r="I5" s="66"/>
      <c r="J5" s="66"/>
      <c r="K5" s="66"/>
      <c r="L5" s="65"/>
      <c r="M5" s="65"/>
      <c r="N5" s="65"/>
      <c r="O5" s="66"/>
      <c r="P5" s="66"/>
      <c r="Q5" s="66"/>
      <c r="R5" s="65"/>
      <c r="S5" s="65"/>
      <c r="T5" s="65"/>
      <c r="U5" s="66"/>
      <c r="V5" s="66"/>
      <c r="W5" s="66"/>
      <c r="X5" s="65"/>
      <c r="Y5" s="65"/>
      <c r="Z5" s="65"/>
      <c r="AA5" s="66"/>
      <c r="AB5" s="66"/>
      <c r="AC5" s="66"/>
      <c r="AD5" s="65"/>
      <c r="AE5" s="65"/>
      <c r="AF5" s="65"/>
      <c r="AG5" s="66"/>
      <c r="AH5" s="66"/>
      <c r="AI5" s="66"/>
      <c r="AJ5" s="65"/>
      <c r="AK5" s="65"/>
      <c r="AL5" s="65"/>
      <c r="AM5" s="66"/>
      <c r="AN5" s="66"/>
      <c r="AO5" s="66"/>
    </row>
    <row r="6" spans="1:41" s="58" customFormat="1" ht="9" customHeight="1" x14ac:dyDescent="0.2">
      <c r="A6" s="12"/>
      <c r="B6" s="13"/>
      <c r="C6" s="12"/>
      <c r="D6" s="12"/>
      <c r="E6" s="3"/>
      <c r="F6" s="65"/>
      <c r="G6" s="65"/>
      <c r="H6" s="65"/>
      <c r="I6" s="66"/>
      <c r="J6" s="66"/>
      <c r="K6" s="66"/>
      <c r="L6" s="65"/>
      <c r="M6" s="65"/>
      <c r="N6" s="65"/>
      <c r="O6" s="66"/>
      <c r="P6" s="66"/>
      <c r="Q6" s="66"/>
      <c r="R6" s="65"/>
      <c r="S6" s="65"/>
      <c r="T6" s="65"/>
      <c r="U6" s="66"/>
      <c r="V6" s="66"/>
      <c r="W6" s="66"/>
      <c r="X6" s="65"/>
      <c r="Y6" s="65"/>
      <c r="Z6" s="65"/>
      <c r="AA6" s="66"/>
      <c r="AB6" s="66"/>
      <c r="AC6" s="66"/>
      <c r="AD6" s="65"/>
      <c r="AE6" s="65"/>
      <c r="AF6" s="65"/>
      <c r="AG6" s="66"/>
      <c r="AH6" s="66"/>
      <c r="AI6" s="66"/>
      <c r="AJ6" s="65"/>
      <c r="AK6" s="65"/>
      <c r="AL6" s="65"/>
      <c r="AM6" s="66"/>
      <c r="AN6" s="66"/>
      <c r="AO6" s="66"/>
    </row>
    <row r="7" spans="1:41" s="58" customFormat="1" ht="17.25" customHeight="1" x14ac:dyDescent="0.2">
      <c r="A7" s="64" t="s">
        <v>82</v>
      </c>
      <c r="B7" s="13"/>
      <c r="C7" s="14">
        <f>H7+K7+N7+Q7+T7+W7+Z7+AC7+AF7+AI7+AL7</f>
        <v>348956</v>
      </c>
      <c r="D7" s="14">
        <v>60000</v>
      </c>
      <c r="E7" s="3"/>
      <c r="F7" s="132">
        <v>0</v>
      </c>
      <c r="G7" s="65"/>
      <c r="H7" s="65">
        <f t="shared" ref="H7:H41" si="0">F7+G7</f>
        <v>0</v>
      </c>
      <c r="I7" s="132">
        <v>59080</v>
      </c>
      <c r="J7" s="66"/>
      <c r="K7" s="66">
        <f t="shared" ref="K7:K41" si="1">I7+J7</f>
        <v>59080</v>
      </c>
      <c r="L7" s="132"/>
      <c r="M7" s="65"/>
      <c r="N7" s="65">
        <f t="shared" ref="N7:N41" si="2">L7+M7</f>
        <v>0</v>
      </c>
      <c r="O7" s="132">
        <v>89607</v>
      </c>
      <c r="P7" s="66"/>
      <c r="Q7" s="66">
        <f t="shared" ref="Q7:Q41" si="3">O7+P7</f>
        <v>89607</v>
      </c>
      <c r="R7" s="132">
        <v>200269</v>
      </c>
      <c r="S7" s="65"/>
      <c r="T7" s="65">
        <f t="shared" ref="T7:T41" si="4">R7+S7</f>
        <v>200269</v>
      </c>
      <c r="U7" s="66"/>
      <c r="V7" s="66"/>
      <c r="W7" s="66">
        <f t="shared" ref="W7:W41" si="5">U7+V7</f>
        <v>0</v>
      </c>
      <c r="X7" s="65"/>
      <c r="Y7" s="65"/>
      <c r="Z7" s="65">
        <f t="shared" ref="Z7:Z41" si="6">X7+Y7</f>
        <v>0</v>
      </c>
      <c r="AA7" s="66"/>
      <c r="AB7" s="66"/>
      <c r="AC7" s="66">
        <f t="shared" ref="AC7:AC41" si="7">AA7+AB7</f>
        <v>0</v>
      </c>
      <c r="AD7" s="65"/>
      <c r="AE7" s="65"/>
      <c r="AF7" s="65">
        <f t="shared" ref="AF7:AF41" si="8">AD7+AE7</f>
        <v>0</v>
      </c>
      <c r="AG7" s="66"/>
      <c r="AH7" s="66"/>
      <c r="AI7" s="66">
        <f t="shared" ref="AI7:AI41" si="9">AG7+AH7</f>
        <v>0</v>
      </c>
      <c r="AJ7" s="65"/>
      <c r="AK7" s="65"/>
      <c r="AL7" s="65">
        <f t="shared" ref="AL7:AL41" si="10">AJ7+AK7</f>
        <v>0</v>
      </c>
      <c r="AM7" s="66"/>
      <c r="AN7" s="66"/>
      <c r="AO7" s="66">
        <f t="shared" ref="AO7" si="11">AM7+AN7</f>
        <v>0</v>
      </c>
    </row>
    <row r="8" spans="1:41" s="58" customFormat="1" ht="17.25" customHeight="1" x14ac:dyDescent="0.2">
      <c r="A8" s="64" t="s">
        <v>96</v>
      </c>
      <c r="B8" s="13"/>
      <c r="C8" s="14">
        <f t="shared" ref="C8:C10" si="12">H8+K8+N8+Q8+T8+W8+Z8+AC8+AF8+AI8+AL8</f>
        <v>122569</v>
      </c>
      <c r="D8" s="14"/>
      <c r="E8" s="3"/>
      <c r="F8" s="132"/>
      <c r="G8" s="65"/>
      <c r="H8" s="65">
        <f t="shared" si="0"/>
        <v>0</v>
      </c>
      <c r="I8" s="132">
        <v>52935</v>
      </c>
      <c r="J8" s="66"/>
      <c r="K8" s="66">
        <f t="shared" si="1"/>
        <v>52935</v>
      </c>
      <c r="L8" s="132"/>
      <c r="M8" s="65"/>
      <c r="N8" s="65">
        <f>L8+M8</f>
        <v>0</v>
      </c>
      <c r="O8" s="132">
        <v>0</v>
      </c>
      <c r="P8" s="66"/>
      <c r="Q8" s="66">
        <f t="shared" si="3"/>
        <v>0</v>
      </c>
      <c r="R8" s="132">
        <v>69634</v>
      </c>
      <c r="S8" s="65"/>
      <c r="T8" s="65">
        <f t="shared" si="4"/>
        <v>69634</v>
      </c>
      <c r="U8" s="132"/>
      <c r="V8" s="66"/>
      <c r="W8" s="66">
        <f t="shared" si="5"/>
        <v>0</v>
      </c>
      <c r="X8" s="132"/>
      <c r="Y8" s="65"/>
      <c r="Z8" s="65">
        <f t="shared" si="6"/>
        <v>0</v>
      </c>
      <c r="AA8" s="132"/>
      <c r="AB8" s="66"/>
      <c r="AC8" s="66">
        <f t="shared" si="7"/>
        <v>0</v>
      </c>
      <c r="AD8" s="65"/>
      <c r="AE8" s="65"/>
      <c r="AF8" s="65"/>
      <c r="AG8" s="66"/>
      <c r="AH8" s="66"/>
      <c r="AI8" s="66"/>
      <c r="AJ8" s="65"/>
      <c r="AK8" s="65"/>
      <c r="AL8" s="65"/>
      <c r="AM8" s="66"/>
      <c r="AN8" s="66"/>
      <c r="AO8" s="66"/>
    </row>
    <row r="9" spans="1:41" s="58" customFormat="1" ht="17.25" customHeight="1" x14ac:dyDescent="0.2">
      <c r="A9" s="64" t="s">
        <v>84</v>
      </c>
      <c r="B9" s="13"/>
      <c r="C9" s="14">
        <f t="shared" si="12"/>
        <v>125900</v>
      </c>
      <c r="D9" s="14"/>
      <c r="E9" s="3"/>
      <c r="F9" s="132"/>
      <c r="G9" s="65"/>
      <c r="H9" s="65">
        <f t="shared" si="0"/>
        <v>0</v>
      </c>
      <c r="I9" s="132">
        <v>125900</v>
      </c>
      <c r="J9" s="66"/>
      <c r="K9" s="66">
        <f t="shared" si="1"/>
        <v>125900</v>
      </c>
      <c r="L9" s="132"/>
      <c r="M9" s="65"/>
      <c r="N9" s="65">
        <f>L9+M9</f>
        <v>0</v>
      </c>
      <c r="O9" s="132"/>
      <c r="P9" s="66"/>
      <c r="Q9" s="66">
        <f t="shared" si="3"/>
        <v>0</v>
      </c>
      <c r="R9" s="132"/>
      <c r="S9" s="65"/>
      <c r="T9" s="65">
        <f t="shared" si="4"/>
        <v>0</v>
      </c>
      <c r="U9" s="132">
        <v>0</v>
      </c>
      <c r="V9" s="66"/>
      <c r="W9" s="66">
        <f t="shared" si="5"/>
        <v>0</v>
      </c>
      <c r="X9" s="132"/>
      <c r="Y9" s="65"/>
      <c r="Z9" s="65">
        <f t="shared" si="6"/>
        <v>0</v>
      </c>
      <c r="AA9" s="132"/>
      <c r="AB9" s="66"/>
      <c r="AC9" s="66">
        <f t="shared" si="7"/>
        <v>0</v>
      </c>
      <c r="AD9" s="65"/>
      <c r="AE9" s="65"/>
      <c r="AF9" s="65"/>
      <c r="AG9" s="66"/>
      <c r="AH9" s="66"/>
      <c r="AI9" s="66"/>
      <c r="AJ9" s="65"/>
      <c r="AK9" s="65"/>
      <c r="AL9" s="65"/>
      <c r="AM9" s="66"/>
      <c r="AN9" s="66"/>
      <c r="AO9" s="66"/>
    </row>
    <row r="10" spans="1:41" s="58" customFormat="1" ht="17.25" customHeight="1" x14ac:dyDescent="0.2">
      <c r="A10" s="64" t="s">
        <v>86</v>
      </c>
      <c r="B10" s="13"/>
      <c r="C10" s="14">
        <f t="shared" si="12"/>
        <v>856770</v>
      </c>
      <c r="D10" s="14"/>
      <c r="E10" s="3"/>
      <c r="F10" s="132"/>
      <c r="G10" s="65"/>
      <c r="H10" s="65">
        <f t="shared" si="0"/>
        <v>0</v>
      </c>
      <c r="I10" s="132">
        <v>111020</v>
      </c>
      <c r="J10" s="66"/>
      <c r="K10" s="66">
        <f t="shared" si="1"/>
        <v>111020</v>
      </c>
      <c r="L10" s="132"/>
      <c r="M10" s="65"/>
      <c r="N10" s="65">
        <f>L10+M10</f>
        <v>0</v>
      </c>
      <c r="O10" s="132">
        <v>62850</v>
      </c>
      <c r="P10" s="66"/>
      <c r="Q10" s="66">
        <f t="shared" si="3"/>
        <v>62850</v>
      </c>
      <c r="R10" s="132">
        <v>682900</v>
      </c>
      <c r="S10" s="65"/>
      <c r="T10" s="65">
        <f t="shared" si="4"/>
        <v>682900</v>
      </c>
      <c r="U10" s="132">
        <v>0</v>
      </c>
      <c r="V10" s="66"/>
      <c r="W10" s="66">
        <f t="shared" si="5"/>
        <v>0</v>
      </c>
      <c r="X10" s="132"/>
      <c r="Y10" s="65"/>
      <c r="Z10" s="65">
        <f t="shared" si="6"/>
        <v>0</v>
      </c>
      <c r="AA10" s="132"/>
      <c r="AB10" s="66"/>
      <c r="AC10" s="66">
        <f t="shared" si="7"/>
        <v>0</v>
      </c>
      <c r="AD10" s="65"/>
      <c r="AE10" s="65"/>
      <c r="AF10" s="65"/>
      <c r="AG10" s="66"/>
      <c r="AH10" s="66"/>
      <c r="AI10" s="66"/>
      <c r="AJ10" s="65"/>
      <c r="AK10" s="65"/>
      <c r="AL10" s="65"/>
      <c r="AM10" s="66"/>
      <c r="AN10" s="66"/>
      <c r="AO10" s="66"/>
    </row>
    <row r="11" spans="1:41" s="58" customFormat="1" ht="17.25" customHeight="1" x14ac:dyDescent="0.2">
      <c r="A11" s="64" t="s">
        <v>88</v>
      </c>
      <c r="B11" s="13"/>
      <c r="C11" s="14">
        <f t="shared" ref="C11:C21" si="13">H11+K11+N11+Q11+T11+W11+Z11+AC11+AF11+AI11+AL11+AO11</f>
        <v>273324</v>
      </c>
      <c r="D11" s="14"/>
      <c r="E11" s="3"/>
      <c r="F11" s="132">
        <v>273324</v>
      </c>
      <c r="G11" s="65"/>
      <c r="H11" s="65">
        <f t="shared" si="0"/>
        <v>273324</v>
      </c>
      <c r="I11" s="132"/>
      <c r="J11" s="66"/>
      <c r="K11" s="66">
        <f t="shared" si="1"/>
        <v>0</v>
      </c>
      <c r="L11" s="132"/>
      <c r="M11" s="65"/>
      <c r="N11" s="65">
        <f t="shared" si="2"/>
        <v>0</v>
      </c>
      <c r="O11" s="132"/>
      <c r="P11" s="66"/>
      <c r="Q11" s="66">
        <f t="shared" si="3"/>
        <v>0</v>
      </c>
      <c r="R11" s="132"/>
      <c r="S11" s="65"/>
      <c r="T11" s="65">
        <f t="shared" si="4"/>
        <v>0</v>
      </c>
      <c r="U11" s="132"/>
      <c r="V11" s="66"/>
      <c r="W11" s="66">
        <f t="shared" si="5"/>
        <v>0</v>
      </c>
      <c r="X11" s="132"/>
      <c r="Y11" s="65"/>
      <c r="Z11" s="65">
        <f t="shared" si="6"/>
        <v>0</v>
      </c>
      <c r="AA11" s="132"/>
      <c r="AB11" s="66"/>
      <c r="AC11" s="66">
        <f t="shared" si="7"/>
        <v>0</v>
      </c>
      <c r="AD11" s="65"/>
      <c r="AE11" s="65"/>
      <c r="AF11" s="65">
        <f t="shared" si="8"/>
        <v>0</v>
      </c>
      <c r="AG11" s="66"/>
      <c r="AH11" s="66"/>
      <c r="AI11" s="66">
        <f t="shared" si="9"/>
        <v>0</v>
      </c>
      <c r="AJ11" s="65"/>
      <c r="AK11" s="65"/>
      <c r="AL11" s="65">
        <f t="shared" si="10"/>
        <v>0</v>
      </c>
      <c r="AM11" s="66"/>
      <c r="AN11" s="66"/>
      <c r="AO11" s="66">
        <f t="shared" ref="AO11" si="14">AM11+AN11</f>
        <v>0</v>
      </c>
    </row>
    <row r="12" spans="1:41" s="58" customFormat="1" ht="17.25" customHeight="1" x14ac:dyDescent="0.2">
      <c r="A12" s="64" t="s">
        <v>58</v>
      </c>
      <c r="B12" s="13"/>
      <c r="C12" s="14">
        <f t="shared" si="13"/>
        <v>197258</v>
      </c>
      <c r="D12" s="14"/>
      <c r="E12" s="3"/>
      <c r="F12" s="132">
        <v>197258</v>
      </c>
      <c r="G12" s="65"/>
      <c r="H12" s="65">
        <f t="shared" si="0"/>
        <v>197258</v>
      </c>
      <c r="I12" s="132"/>
      <c r="J12" s="66"/>
      <c r="K12" s="66">
        <f t="shared" si="1"/>
        <v>0</v>
      </c>
      <c r="L12" s="132"/>
      <c r="M12" s="65"/>
      <c r="N12" s="65">
        <f>L12+M12</f>
        <v>0</v>
      </c>
      <c r="O12" s="132"/>
      <c r="P12" s="66"/>
      <c r="Q12" s="66">
        <f t="shared" si="3"/>
        <v>0</v>
      </c>
      <c r="R12" s="132"/>
      <c r="S12" s="65"/>
      <c r="T12" s="65">
        <f t="shared" si="4"/>
        <v>0</v>
      </c>
      <c r="U12" s="132"/>
      <c r="V12" s="66"/>
      <c r="W12" s="66">
        <f t="shared" si="5"/>
        <v>0</v>
      </c>
      <c r="X12" s="132"/>
      <c r="Y12" s="65"/>
      <c r="Z12" s="65">
        <f t="shared" si="6"/>
        <v>0</v>
      </c>
      <c r="AA12" s="132"/>
      <c r="AB12" s="66"/>
      <c r="AC12" s="66">
        <f t="shared" si="7"/>
        <v>0</v>
      </c>
      <c r="AD12" s="65"/>
      <c r="AE12" s="65"/>
      <c r="AF12" s="65"/>
      <c r="AG12" s="66"/>
      <c r="AH12" s="66"/>
      <c r="AI12" s="66"/>
      <c r="AJ12" s="65"/>
      <c r="AK12" s="65"/>
      <c r="AL12" s="65"/>
      <c r="AM12" s="66"/>
      <c r="AN12" s="66"/>
      <c r="AO12" s="66"/>
    </row>
    <row r="13" spans="1:41" s="58" customFormat="1" ht="17.25" customHeight="1" x14ac:dyDescent="0.2">
      <c r="A13" s="64" t="s">
        <v>59</v>
      </c>
      <c r="B13" s="13"/>
      <c r="C13" s="14">
        <f t="shared" si="13"/>
        <v>25500</v>
      </c>
      <c r="D13" s="14"/>
      <c r="E13" s="3"/>
      <c r="F13" s="132">
        <v>100000</v>
      </c>
      <c r="G13" s="120">
        <f>-100000</f>
        <v>-100000</v>
      </c>
      <c r="H13" s="65">
        <f t="shared" si="0"/>
        <v>0</v>
      </c>
      <c r="I13" s="132">
        <v>50024</v>
      </c>
      <c r="J13" s="120">
        <v>-50024</v>
      </c>
      <c r="K13" s="66">
        <f t="shared" si="1"/>
        <v>0</v>
      </c>
      <c r="L13" s="132"/>
      <c r="M13" s="65"/>
      <c r="N13" s="65">
        <f t="shared" si="2"/>
        <v>0</v>
      </c>
      <c r="O13" s="133">
        <f>77402+158169</f>
        <v>235571</v>
      </c>
      <c r="P13" s="120">
        <f>-77402-158169</f>
        <v>-235571</v>
      </c>
      <c r="Q13" s="66">
        <f t="shared" si="3"/>
        <v>0</v>
      </c>
      <c r="R13" s="132"/>
      <c r="S13" s="65"/>
      <c r="T13" s="65">
        <f t="shared" si="4"/>
        <v>0</v>
      </c>
      <c r="U13" s="132">
        <v>20280</v>
      </c>
      <c r="V13" s="120">
        <v>-20280</v>
      </c>
      <c r="W13" s="66">
        <f t="shared" si="5"/>
        <v>0</v>
      </c>
      <c r="X13" s="132"/>
      <c r="Y13" s="65"/>
      <c r="Z13" s="65">
        <f t="shared" si="6"/>
        <v>0</v>
      </c>
      <c r="AA13" s="132">
        <v>25500</v>
      </c>
      <c r="AB13" s="120"/>
      <c r="AC13" s="66">
        <f t="shared" si="7"/>
        <v>25500</v>
      </c>
      <c r="AD13" s="65">
        <v>0</v>
      </c>
      <c r="AE13" s="120">
        <v>0</v>
      </c>
      <c r="AF13" s="65">
        <f t="shared" si="8"/>
        <v>0</v>
      </c>
      <c r="AG13" s="66"/>
      <c r="AH13" s="66"/>
      <c r="AI13" s="66">
        <f t="shared" si="9"/>
        <v>0</v>
      </c>
      <c r="AJ13" s="65"/>
      <c r="AK13" s="65"/>
      <c r="AL13" s="65">
        <f t="shared" si="10"/>
        <v>0</v>
      </c>
      <c r="AM13" s="66"/>
      <c r="AN13" s="66"/>
      <c r="AO13" s="66">
        <f t="shared" ref="AO13:AO21" si="15">AM13+AN13</f>
        <v>0</v>
      </c>
    </row>
    <row r="14" spans="1:41" s="58" customFormat="1" ht="17.25" customHeight="1" x14ac:dyDescent="0.2">
      <c r="A14" s="64" t="s">
        <v>87</v>
      </c>
      <c r="B14" s="13"/>
      <c r="C14" s="14">
        <f t="shared" si="13"/>
        <v>47100</v>
      </c>
      <c r="D14" s="14">
        <v>80000</v>
      </c>
      <c r="E14" s="3"/>
      <c r="F14" s="132">
        <v>47300</v>
      </c>
      <c r="G14" s="65"/>
      <c r="H14" s="65">
        <f t="shared" si="0"/>
        <v>47300</v>
      </c>
      <c r="I14" s="132"/>
      <c r="J14" s="66"/>
      <c r="K14" s="66">
        <f t="shared" si="1"/>
        <v>0</v>
      </c>
      <c r="L14" s="132"/>
      <c r="M14" s="65"/>
      <c r="N14" s="65">
        <f t="shared" si="2"/>
        <v>0</v>
      </c>
      <c r="O14" s="132"/>
      <c r="P14" s="66"/>
      <c r="Q14" s="66">
        <f t="shared" si="3"/>
        <v>0</v>
      </c>
      <c r="R14" s="132"/>
      <c r="S14" s="65"/>
      <c r="T14" s="65">
        <f t="shared" si="4"/>
        <v>0</v>
      </c>
      <c r="U14" s="132">
        <v>-200</v>
      </c>
      <c r="V14" s="66"/>
      <c r="W14" s="66">
        <f t="shared" si="5"/>
        <v>-200</v>
      </c>
      <c r="X14" s="132"/>
      <c r="Y14" s="65"/>
      <c r="Z14" s="65">
        <f t="shared" si="6"/>
        <v>0</v>
      </c>
      <c r="AA14" s="132"/>
      <c r="AB14" s="66"/>
      <c r="AC14" s="66">
        <f t="shared" si="7"/>
        <v>0</v>
      </c>
      <c r="AD14" s="65"/>
      <c r="AE14" s="65"/>
      <c r="AF14" s="65">
        <f t="shared" si="8"/>
        <v>0</v>
      </c>
      <c r="AG14" s="66"/>
      <c r="AH14" s="66"/>
      <c r="AI14" s="66">
        <f t="shared" si="9"/>
        <v>0</v>
      </c>
      <c r="AJ14" s="65"/>
      <c r="AK14" s="65"/>
      <c r="AL14" s="65">
        <f t="shared" si="10"/>
        <v>0</v>
      </c>
      <c r="AM14" s="66"/>
      <c r="AN14" s="66"/>
      <c r="AO14" s="66">
        <f t="shared" si="15"/>
        <v>0</v>
      </c>
    </row>
    <row r="15" spans="1:41" s="58" customFormat="1" ht="17.25" customHeight="1" x14ac:dyDescent="0.2">
      <c r="A15" s="64" t="s">
        <v>53</v>
      </c>
      <c r="B15" s="13"/>
      <c r="C15" s="14">
        <f t="shared" si="13"/>
        <v>306048</v>
      </c>
      <c r="D15" s="14">
        <v>45000</v>
      </c>
      <c r="E15" s="3"/>
      <c r="F15" s="132">
        <v>0</v>
      </c>
      <c r="G15" s="65"/>
      <c r="H15" s="65">
        <f t="shared" si="0"/>
        <v>0</v>
      </c>
      <c r="I15" s="132">
        <v>96525</v>
      </c>
      <c r="J15" s="66"/>
      <c r="K15" s="66">
        <f t="shared" si="1"/>
        <v>96525</v>
      </c>
      <c r="L15" s="132"/>
      <c r="M15" s="65"/>
      <c r="N15" s="65">
        <f t="shared" si="2"/>
        <v>0</v>
      </c>
      <c r="O15" s="132">
        <v>177550</v>
      </c>
      <c r="P15" s="66"/>
      <c r="Q15" s="66">
        <f t="shared" si="3"/>
        <v>177550</v>
      </c>
      <c r="R15" s="132"/>
      <c r="S15" s="65"/>
      <c r="T15" s="65">
        <f t="shared" si="4"/>
        <v>0</v>
      </c>
      <c r="U15" s="132">
        <v>20723</v>
      </c>
      <c r="V15" s="66"/>
      <c r="W15" s="66">
        <f t="shared" si="5"/>
        <v>20723</v>
      </c>
      <c r="X15" s="132"/>
      <c r="Y15" s="65"/>
      <c r="Z15" s="65">
        <f t="shared" si="6"/>
        <v>0</v>
      </c>
      <c r="AA15" s="132">
        <v>9600</v>
      </c>
      <c r="AB15" s="66"/>
      <c r="AC15" s="66">
        <f t="shared" si="7"/>
        <v>9600</v>
      </c>
      <c r="AD15" s="65">
        <v>1650</v>
      </c>
      <c r="AE15" s="65"/>
      <c r="AF15" s="65">
        <f t="shared" si="8"/>
        <v>1650</v>
      </c>
      <c r="AG15" s="66"/>
      <c r="AH15" s="66"/>
      <c r="AI15" s="66">
        <f t="shared" si="9"/>
        <v>0</v>
      </c>
      <c r="AJ15" s="65"/>
      <c r="AK15" s="65"/>
      <c r="AL15" s="65">
        <f t="shared" si="10"/>
        <v>0</v>
      </c>
      <c r="AM15" s="66"/>
      <c r="AN15" s="66"/>
      <c r="AO15" s="66">
        <f t="shared" si="15"/>
        <v>0</v>
      </c>
    </row>
    <row r="16" spans="1:41" s="58" customFormat="1" ht="17.25" customHeight="1" x14ac:dyDescent="0.2">
      <c r="A16" s="64" t="s">
        <v>54</v>
      </c>
      <c r="B16" s="13"/>
      <c r="C16" s="14">
        <f t="shared" si="13"/>
        <v>446914</v>
      </c>
      <c r="D16" s="14">
        <v>3000</v>
      </c>
      <c r="E16" s="3"/>
      <c r="F16" s="132">
        <v>435509</v>
      </c>
      <c r="G16" s="120"/>
      <c r="H16" s="65">
        <f t="shared" si="0"/>
        <v>435509</v>
      </c>
      <c r="I16" s="132">
        <v>0</v>
      </c>
      <c r="J16" s="66"/>
      <c r="K16" s="66">
        <f t="shared" si="1"/>
        <v>0</v>
      </c>
      <c r="L16" s="132"/>
      <c r="M16" s="65"/>
      <c r="N16" s="65">
        <f t="shared" si="2"/>
        <v>0</v>
      </c>
      <c r="O16" s="132">
        <v>11405</v>
      </c>
      <c r="P16" s="66"/>
      <c r="Q16" s="66">
        <f t="shared" si="3"/>
        <v>11405</v>
      </c>
      <c r="R16" s="132"/>
      <c r="S16" s="65"/>
      <c r="T16" s="65">
        <f t="shared" si="4"/>
        <v>0</v>
      </c>
      <c r="U16" s="132">
        <v>0</v>
      </c>
      <c r="V16" s="66"/>
      <c r="W16" s="66">
        <f t="shared" si="5"/>
        <v>0</v>
      </c>
      <c r="X16" s="132"/>
      <c r="Y16" s="65"/>
      <c r="Z16" s="65">
        <f t="shared" si="6"/>
        <v>0</v>
      </c>
      <c r="AA16" s="132"/>
      <c r="AB16" s="66"/>
      <c r="AC16" s="66">
        <f t="shared" si="7"/>
        <v>0</v>
      </c>
      <c r="AD16" s="65"/>
      <c r="AE16" s="65"/>
      <c r="AF16" s="65">
        <f t="shared" si="8"/>
        <v>0</v>
      </c>
      <c r="AG16" s="66"/>
      <c r="AH16" s="66"/>
      <c r="AI16" s="66">
        <f t="shared" si="9"/>
        <v>0</v>
      </c>
      <c r="AJ16" s="65"/>
      <c r="AK16" s="65"/>
      <c r="AL16" s="65">
        <f t="shared" si="10"/>
        <v>0</v>
      </c>
      <c r="AM16" s="66"/>
      <c r="AN16" s="66"/>
      <c r="AO16" s="66">
        <f t="shared" si="15"/>
        <v>0</v>
      </c>
    </row>
    <row r="17" spans="1:41" s="58" customFormat="1" ht="17.25" customHeight="1" x14ac:dyDescent="0.2">
      <c r="A17" s="12" t="s">
        <v>181</v>
      </c>
      <c r="B17" s="13"/>
      <c r="C17" s="14">
        <f t="shared" si="13"/>
        <v>0</v>
      </c>
      <c r="D17" s="14">
        <v>32000</v>
      </c>
      <c r="E17" s="3"/>
      <c r="F17" s="132">
        <v>0</v>
      </c>
      <c r="G17" s="65"/>
      <c r="H17" s="65">
        <f t="shared" si="0"/>
        <v>0</v>
      </c>
      <c r="I17" s="132">
        <v>0</v>
      </c>
      <c r="J17" s="66"/>
      <c r="K17" s="66">
        <f t="shared" si="1"/>
        <v>0</v>
      </c>
      <c r="L17" s="132"/>
      <c r="M17" s="65"/>
      <c r="N17" s="65">
        <f t="shared" si="2"/>
        <v>0</v>
      </c>
      <c r="O17" s="132">
        <v>0</v>
      </c>
      <c r="P17" s="66"/>
      <c r="Q17" s="66">
        <f t="shared" si="3"/>
        <v>0</v>
      </c>
      <c r="R17" s="132">
        <v>0</v>
      </c>
      <c r="S17" s="65"/>
      <c r="T17" s="65">
        <f t="shared" si="4"/>
        <v>0</v>
      </c>
      <c r="U17" s="132"/>
      <c r="V17" s="66"/>
      <c r="W17" s="66">
        <f t="shared" si="5"/>
        <v>0</v>
      </c>
      <c r="X17" s="132"/>
      <c r="Y17" s="65"/>
      <c r="Z17" s="65">
        <f t="shared" si="6"/>
        <v>0</v>
      </c>
      <c r="AA17" s="132"/>
      <c r="AB17" s="66"/>
      <c r="AC17" s="66">
        <f t="shared" si="7"/>
        <v>0</v>
      </c>
      <c r="AD17" s="65"/>
      <c r="AE17" s="65"/>
      <c r="AF17" s="65">
        <f t="shared" si="8"/>
        <v>0</v>
      </c>
      <c r="AG17" s="66"/>
      <c r="AH17" s="66"/>
      <c r="AI17" s="66">
        <f t="shared" si="9"/>
        <v>0</v>
      </c>
      <c r="AJ17" s="65"/>
      <c r="AK17" s="65"/>
      <c r="AL17" s="65">
        <f t="shared" si="10"/>
        <v>0</v>
      </c>
      <c r="AM17" s="66"/>
      <c r="AN17" s="66"/>
      <c r="AO17" s="66">
        <f t="shared" si="15"/>
        <v>0</v>
      </c>
    </row>
    <row r="18" spans="1:41" s="58" customFormat="1" ht="17.25" customHeight="1" x14ac:dyDescent="0.2">
      <c r="A18" s="64" t="s">
        <v>56</v>
      </c>
      <c r="B18" s="13"/>
      <c r="C18" s="14">
        <f t="shared" si="13"/>
        <v>105700</v>
      </c>
      <c r="D18" s="14">
        <v>70000</v>
      </c>
      <c r="E18" s="3"/>
      <c r="F18" s="132">
        <v>105700</v>
      </c>
      <c r="G18" s="65"/>
      <c r="H18" s="65">
        <f t="shared" si="0"/>
        <v>105700</v>
      </c>
      <c r="I18" s="132"/>
      <c r="J18" s="66"/>
      <c r="K18" s="66">
        <f t="shared" si="1"/>
        <v>0</v>
      </c>
      <c r="L18" s="132"/>
      <c r="M18" s="65"/>
      <c r="N18" s="65">
        <f t="shared" si="2"/>
        <v>0</v>
      </c>
      <c r="O18" s="132"/>
      <c r="P18" s="66"/>
      <c r="Q18" s="66">
        <f t="shared" si="3"/>
        <v>0</v>
      </c>
      <c r="R18" s="132"/>
      <c r="S18" s="65"/>
      <c r="T18" s="65">
        <f t="shared" si="4"/>
        <v>0</v>
      </c>
      <c r="U18" s="132"/>
      <c r="V18" s="66"/>
      <c r="W18" s="66">
        <f t="shared" si="5"/>
        <v>0</v>
      </c>
      <c r="X18" s="132"/>
      <c r="Y18" s="65"/>
      <c r="Z18" s="65">
        <f t="shared" si="6"/>
        <v>0</v>
      </c>
      <c r="AA18" s="132"/>
      <c r="AB18" s="66"/>
      <c r="AC18" s="66">
        <f t="shared" si="7"/>
        <v>0</v>
      </c>
      <c r="AD18" s="65"/>
      <c r="AE18" s="65"/>
      <c r="AF18" s="65">
        <f t="shared" si="8"/>
        <v>0</v>
      </c>
      <c r="AG18" s="66"/>
      <c r="AH18" s="66"/>
      <c r="AI18" s="66">
        <f t="shared" si="9"/>
        <v>0</v>
      </c>
      <c r="AJ18" s="65"/>
      <c r="AK18" s="65"/>
      <c r="AL18" s="65">
        <f t="shared" si="10"/>
        <v>0</v>
      </c>
      <c r="AM18" s="66"/>
      <c r="AN18" s="66"/>
      <c r="AO18" s="66">
        <f t="shared" si="15"/>
        <v>0</v>
      </c>
    </row>
    <row r="19" spans="1:41" s="58" customFormat="1" ht="17.25" customHeight="1" x14ac:dyDescent="0.2">
      <c r="A19" s="12" t="s">
        <v>162</v>
      </c>
      <c r="B19" s="13"/>
      <c r="C19" s="14">
        <f t="shared" si="13"/>
        <v>98925</v>
      </c>
      <c r="D19" s="14">
        <v>70000</v>
      </c>
      <c r="E19" s="3"/>
      <c r="F19" s="132">
        <v>98925</v>
      </c>
      <c r="G19" s="65"/>
      <c r="H19" s="65">
        <f t="shared" si="0"/>
        <v>98925</v>
      </c>
      <c r="I19" s="132"/>
      <c r="J19" s="66"/>
      <c r="K19" s="66">
        <f t="shared" si="1"/>
        <v>0</v>
      </c>
      <c r="L19" s="132"/>
      <c r="M19" s="65"/>
      <c r="N19" s="65">
        <f t="shared" si="2"/>
        <v>0</v>
      </c>
      <c r="O19" s="132"/>
      <c r="P19" s="66"/>
      <c r="Q19" s="66">
        <f t="shared" si="3"/>
        <v>0</v>
      </c>
      <c r="R19" s="132"/>
      <c r="S19" s="65"/>
      <c r="T19" s="65">
        <f t="shared" si="4"/>
        <v>0</v>
      </c>
      <c r="U19" s="132"/>
      <c r="V19" s="66"/>
      <c r="W19" s="66">
        <f t="shared" si="5"/>
        <v>0</v>
      </c>
      <c r="X19" s="132"/>
      <c r="Y19" s="65"/>
      <c r="Z19" s="65">
        <f t="shared" si="6"/>
        <v>0</v>
      </c>
      <c r="AA19" s="132"/>
      <c r="AB19" s="66"/>
      <c r="AC19" s="66">
        <f t="shared" si="7"/>
        <v>0</v>
      </c>
      <c r="AD19" s="65"/>
      <c r="AE19" s="65"/>
      <c r="AF19" s="65">
        <f t="shared" si="8"/>
        <v>0</v>
      </c>
      <c r="AG19" s="66"/>
      <c r="AH19" s="66"/>
      <c r="AI19" s="66">
        <f t="shared" si="9"/>
        <v>0</v>
      </c>
      <c r="AJ19" s="65"/>
      <c r="AK19" s="65"/>
      <c r="AL19" s="65">
        <f t="shared" si="10"/>
        <v>0</v>
      </c>
      <c r="AM19" s="66"/>
      <c r="AN19" s="66"/>
      <c r="AO19" s="66">
        <f t="shared" si="15"/>
        <v>0</v>
      </c>
    </row>
    <row r="20" spans="1:41" s="58" customFormat="1" ht="17.25" customHeight="1" x14ac:dyDescent="0.2">
      <c r="A20" s="12" t="s">
        <v>124</v>
      </c>
      <c r="B20" s="13"/>
      <c r="C20" s="14">
        <f t="shared" si="13"/>
        <v>242435</v>
      </c>
      <c r="D20" s="14"/>
      <c r="E20" s="3"/>
      <c r="F20" s="132">
        <v>242435</v>
      </c>
      <c r="G20" s="65"/>
      <c r="H20" s="65">
        <f t="shared" si="0"/>
        <v>242435</v>
      </c>
      <c r="I20" s="132"/>
      <c r="J20" s="66"/>
      <c r="K20" s="66">
        <f t="shared" si="1"/>
        <v>0</v>
      </c>
      <c r="L20" s="132"/>
      <c r="M20" s="65"/>
      <c r="N20" s="65">
        <f t="shared" si="2"/>
        <v>0</v>
      </c>
      <c r="O20" s="132"/>
      <c r="P20" s="66"/>
      <c r="Q20" s="66">
        <f t="shared" si="3"/>
        <v>0</v>
      </c>
      <c r="R20" s="132"/>
      <c r="S20" s="65"/>
      <c r="T20" s="65">
        <f t="shared" si="4"/>
        <v>0</v>
      </c>
      <c r="U20" s="132"/>
      <c r="V20" s="66"/>
      <c r="W20" s="66">
        <f t="shared" si="5"/>
        <v>0</v>
      </c>
      <c r="X20" s="132"/>
      <c r="Y20" s="65"/>
      <c r="Z20" s="65">
        <f t="shared" si="6"/>
        <v>0</v>
      </c>
      <c r="AA20" s="132"/>
      <c r="AB20" s="66"/>
      <c r="AC20" s="66">
        <f t="shared" si="7"/>
        <v>0</v>
      </c>
      <c r="AD20" s="65"/>
      <c r="AE20" s="65"/>
      <c r="AF20" s="65">
        <f t="shared" si="8"/>
        <v>0</v>
      </c>
      <c r="AG20" s="66"/>
      <c r="AH20" s="66"/>
      <c r="AI20" s="66">
        <f t="shared" si="9"/>
        <v>0</v>
      </c>
      <c r="AJ20" s="65"/>
      <c r="AK20" s="65"/>
      <c r="AL20" s="65">
        <f t="shared" si="10"/>
        <v>0</v>
      </c>
      <c r="AM20" s="66"/>
      <c r="AN20" s="66"/>
      <c r="AO20" s="66">
        <f t="shared" si="15"/>
        <v>0</v>
      </c>
    </row>
    <row r="21" spans="1:41" s="58" customFormat="1" ht="17.25" customHeight="1" x14ac:dyDescent="0.2">
      <c r="A21" s="64" t="s">
        <v>55</v>
      </c>
      <c r="B21" s="13"/>
      <c r="C21" s="14">
        <f t="shared" si="13"/>
        <v>455700</v>
      </c>
      <c r="D21" s="14">
        <v>20000</v>
      </c>
      <c r="E21" s="3"/>
      <c r="F21" s="132">
        <v>72250</v>
      </c>
      <c r="G21" s="65"/>
      <c r="H21" s="65">
        <f t="shared" si="0"/>
        <v>72250</v>
      </c>
      <c r="I21" s="132">
        <v>79366</v>
      </c>
      <c r="J21" s="66"/>
      <c r="K21" s="66">
        <f t="shared" si="1"/>
        <v>79366</v>
      </c>
      <c r="L21" s="132"/>
      <c r="M21" s="65"/>
      <c r="N21" s="65">
        <f t="shared" si="2"/>
        <v>0</v>
      </c>
      <c r="O21" s="133">
        <v>222673</v>
      </c>
      <c r="P21" s="66"/>
      <c r="Q21" s="66">
        <f t="shared" si="3"/>
        <v>222673</v>
      </c>
      <c r="R21" s="132">
        <v>0</v>
      </c>
      <c r="S21" s="65"/>
      <c r="T21" s="65">
        <f t="shared" si="4"/>
        <v>0</v>
      </c>
      <c r="U21" s="132">
        <v>0</v>
      </c>
      <c r="V21" s="66"/>
      <c r="W21" s="66">
        <f t="shared" si="5"/>
        <v>0</v>
      </c>
      <c r="X21" s="132">
        <v>59500</v>
      </c>
      <c r="Y21" s="65"/>
      <c r="Z21" s="65">
        <f t="shared" si="6"/>
        <v>59500</v>
      </c>
      <c r="AA21" s="132"/>
      <c r="AB21" s="66"/>
      <c r="AC21" s="66">
        <f t="shared" si="7"/>
        <v>0</v>
      </c>
      <c r="AD21" s="65">
        <v>21911</v>
      </c>
      <c r="AE21" s="65"/>
      <c r="AF21" s="65">
        <f t="shared" si="8"/>
        <v>21911</v>
      </c>
      <c r="AG21" s="66"/>
      <c r="AH21" s="66"/>
      <c r="AI21" s="66">
        <f t="shared" si="9"/>
        <v>0</v>
      </c>
      <c r="AJ21" s="65"/>
      <c r="AK21" s="65"/>
      <c r="AL21" s="65">
        <f t="shared" si="10"/>
        <v>0</v>
      </c>
      <c r="AM21" s="66"/>
      <c r="AN21" s="66"/>
      <c r="AO21" s="66">
        <f t="shared" si="15"/>
        <v>0</v>
      </c>
    </row>
    <row r="22" spans="1:41" s="58" customFormat="1" ht="17.25" x14ac:dyDescent="0.3">
      <c r="A22" s="4" t="s">
        <v>5</v>
      </c>
      <c r="B22" s="16"/>
      <c r="C22" s="17">
        <f>SUM(C7:C21)</f>
        <v>3653099</v>
      </c>
      <c r="D22" s="17">
        <f>SUM(D7:D21)</f>
        <v>380000</v>
      </c>
      <c r="E22" s="3"/>
      <c r="F22" s="67">
        <f t="shared" ref="F22:AO22" si="16">SUM(F7:F21)</f>
        <v>1572701</v>
      </c>
      <c r="G22" s="67">
        <f t="shared" si="16"/>
        <v>-100000</v>
      </c>
      <c r="H22" s="67">
        <f t="shared" si="16"/>
        <v>1472701</v>
      </c>
      <c r="I22" s="67">
        <f t="shared" si="16"/>
        <v>574850</v>
      </c>
      <c r="J22" s="67">
        <f t="shared" si="16"/>
        <v>-50024</v>
      </c>
      <c r="K22" s="67">
        <f t="shared" si="16"/>
        <v>524826</v>
      </c>
      <c r="L22" s="67">
        <f t="shared" si="16"/>
        <v>0</v>
      </c>
      <c r="M22" s="67">
        <f t="shared" si="16"/>
        <v>0</v>
      </c>
      <c r="N22" s="67">
        <f t="shared" si="16"/>
        <v>0</v>
      </c>
      <c r="O22" s="67">
        <f t="shared" si="16"/>
        <v>799656</v>
      </c>
      <c r="P22" s="67">
        <f t="shared" si="16"/>
        <v>-235571</v>
      </c>
      <c r="Q22" s="67">
        <f t="shared" si="16"/>
        <v>564085</v>
      </c>
      <c r="R22" s="67">
        <f t="shared" si="16"/>
        <v>952803</v>
      </c>
      <c r="S22" s="67">
        <f t="shared" si="16"/>
        <v>0</v>
      </c>
      <c r="T22" s="67">
        <f t="shared" si="16"/>
        <v>952803</v>
      </c>
      <c r="U22" s="67">
        <f t="shared" si="16"/>
        <v>40803</v>
      </c>
      <c r="V22" s="67">
        <f t="shared" si="16"/>
        <v>-20280</v>
      </c>
      <c r="W22" s="67">
        <f t="shared" si="16"/>
        <v>20523</v>
      </c>
      <c r="X22" s="67">
        <f t="shared" si="16"/>
        <v>59500</v>
      </c>
      <c r="Y22" s="67">
        <f t="shared" si="16"/>
        <v>0</v>
      </c>
      <c r="Z22" s="67">
        <f t="shared" si="16"/>
        <v>59500</v>
      </c>
      <c r="AA22" s="67">
        <f t="shared" si="16"/>
        <v>35100</v>
      </c>
      <c r="AB22" s="67">
        <f t="shared" si="16"/>
        <v>0</v>
      </c>
      <c r="AC22" s="67">
        <f t="shared" si="16"/>
        <v>35100</v>
      </c>
      <c r="AD22" s="67">
        <f t="shared" si="16"/>
        <v>23561</v>
      </c>
      <c r="AE22" s="67">
        <f t="shared" si="16"/>
        <v>0</v>
      </c>
      <c r="AF22" s="67">
        <f t="shared" si="16"/>
        <v>23561</v>
      </c>
      <c r="AG22" s="67">
        <f t="shared" si="16"/>
        <v>0</v>
      </c>
      <c r="AH22" s="67">
        <f t="shared" si="16"/>
        <v>0</v>
      </c>
      <c r="AI22" s="67">
        <f t="shared" si="16"/>
        <v>0</v>
      </c>
      <c r="AJ22" s="67">
        <f t="shared" si="16"/>
        <v>0</v>
      </c>
      <c r="AK22" s="67">
        <f t="shared" si="16"/>
        <v>0</v>
      </c>
      <c r="AL22" s="67">
        <f t="shared" si="16"/>
        <v>0</v>
      </c>
      <c r="AM22" s="67">
        <f t="shared" si="16"/>
        <v>0</v>
      </c>
      <c r="AN22" s="67">
        <f t="shared" si="16"/>
        <v>0</v>
      </c>
      <c r="AO22" s="67">
        <f t="shared" si="16"/>
        <v>0</v>
      </c>
    </row>
    <row r="23" spans="1:41" s="58" customFormat="1" ht="21.95" customHeight="1" x14ac:dyDescent="0.3">
      <c r="A23" s="15"/>
      <c r="B23" s="16"/>
      <c r="C23" s="18"/>
      <c r="D23" s="18"/>
      <c r="E23" s="3"/>
      <c r="F23" s="65"/>
      <c r="G23" s="65"/>
      <c r="H23" s="65"/>
      <c r="I23" s="66"/>
      <c r="J23" s="66"/>
      <c r="K23" s="66"/>
      <c r="L23" s="65"/>
      <c r="M23" s="65"/>
      <c r="N23" s="65"/>
      <c r="O23" s="66"/>
      <c r="P23" s="66"/>
      <c r="Q23" s="66"/>
      <c r="R23" s="65"/>
      <c r="S23" s="65"/>
      <c r="T23" s="65"/>
      <c r="U23" s="66"/>
      <c r="V23" s="66"/>
      <c r="W23" s="66"/>
      <c r="X23" s="65"/>
      <c r="Y23" s="65"/>
      <c r="Z23" s="65"/>
      <c r="AA23" s="66"/>
      <c r="AB23" s="66"/>
      <c r="AC23" s="66"/>
      <c r="AD23" s="65"/>
      <c r="AE23" s="65"/>
      <c r="AF23" s="65"/>
      <c r="AG23" s="66"/>
      <c r="AH23" s="66"/>
      <c r="AI23" s="66"/>
      <c r="AJ23" s="65"/>
      <c r="AK23" s="65"/>
      <c r="AL23" s="65"/>
      <c r="AM23" s="66"/>
      <c r="AN23" s="66"/>
      <c r="AO23" s="66"/>
    </row>
    <row r="24" spans="1:41" s="58" customFormat="1" ht="17.25" x14ac:dyDescent="0.3">
      <c r="A24" s="4" t="s">
        <v>6</v>
      </c>
      <c r="B24" s="16"/>
      <c r="C24" s="19"/>
      <c r="D24" s="19"/>
      <c r="E24" s="3"/>
      <c r="F24" s="65"/>
      <c r="G24" s="65"/>
      <c r="H24" s="65"/>
      <c r="I24" s="66"/>
      <c r="J24" s="66"/>
      <c r="K24" s="66"/>
      <c r="L24" s="65"/>
      <c r="M24" s="65"/>
      <c r="N24" s="65"/>
      <c r="O24" s="66"/>
      <c r="P24" s="66"/>
      <c r="Q24" s="66"/>
      <c r="R24" s="65"/>
      <c r="S24" s="65"/>
      <c r="T24" s="65"/>
      <c r="U24" s="66"/>
      <c r="V24" s="66"/>
      <c r="W24" s="66"/>
      <c r="X24" s="65"/>
      <c r="Y24" s="65"/>
      <c r="Z24" s="65"/>
      <c r="AA24" s="66"/>
      <c r="AB24" s="66"/>
      <c r="AC24" s="66"/>
      <c r="AD24" s="65"/>
      <c r="AE24" s="65"/>
      <c r="AF24" s="65"/>
      <c r="AG24" s="66"/>
      <c r="AH24" s="66"/>
      <c r="AI24" s="66"/>
      <c r="AJ24" s="65"/>
      <c r="AK24" s="65"/>
      <c r="AL24" s="65"/>
      <c r="AM24" s="66"/>
      <c r="AN24" s="66"/>
      <c r="AO24" s="66"/>
    </row>
    <row r="25" spans="1:41" s="58" customFormat="1" ht="9.9499999999999993" customHeight="1" x14ac:dyDescent="0.3">
      <c r="A25" s="15"/>
      <c r="B25" s="16"/>
      <c r="C25" s="19"/>
      <c r="D25" s="19"/>
      <c r="E25" s="3"/>
      <c r="F25" s="65"/>
      <c r="G25" s="65"/>
      <c r="H25" s="65"/>
      <c r="I25" s="66"/>
      <c r="J25" s="66"/>
      <c r="K25" s="66"/>
      <c r="L25" s="65"/>
      <c r="M25" s="65"/>
      <c r="N25" s="65"/>
      <c r="O25" s="66"/>
      <c r="P25" s="66"/>
      <c r="Q25" s="66"/>
      <c r="R25" s="65"/>
      <c r="S25" s="65"/>
      <c r="T25" s="65"/>
      <c r="U25" s="66"/>
      <c r="V25" s="66"/>
      <c r="W25" s="66"/>
      <c r="X25" s="65"/>
      <c r="Y25" s="65"/>
      <c r="Z25" s="65"/>
      <c r="AA25" s="66"/>
      <c r="AB25" s="66"/>
      <c r="AC25" s="66"/>
      <c r="AD25" s="65"/>
      <c r="AE25" s="65"/>
      <c r="AF25" s="65"/>
      <c r="AG25" s="66"/>
      <c r="AH25" s="66"/>
      <c r="AI25" s="66"/>
      <c r="AJ25" s="65"/>
      <c r="AK25" s="65"/>
      <c r="AL25" s="65"/>
      <c r="AM25" s="66"/>
      <c r="AN25" s="66"/>
      <c r="AO25" s="66"/>
    </row>
    <row r="26" spans="1:41" s="58" customFormat="1" ht="16.5" customHeight="1" x14ac:dyDescent="0.3">
      <c r="A26" s="68" t="s">
        <v>89</v>
      </c>
      <c r="B26" s="16"/>
      <c r="C26" s="14">
        <f>H26+K26+N26+Q26+T26+W26+Z26+AC26+AF26+AI26+AL26+AO26</f>
        <v>404622</v>
      </c>
      <c r="D26" s="19"/>
      <c r="E26" s="3"/>
      <c r="F26" s="132">
        <v>0</v>
      </c>
      <c r="G26" s="65"/>
      <c r="H26" s="65">
        <f t="shared" si="0"/>
        <v>0</v>
      </c>
      <c r="I26" s="132">
        <v>63722</v>
      </c>
      <c r="J26" s="66"/>
      <c r="K26" s="66">
        <f t="shared" si="1"/>
        <v>63722</v>
      </c>
      <c r="L26" s="132"/>
      <c r="M26" s="65"/>
      <c r="N26" s="65">
        <f t="shared" si="2"/>
        <v>0</v>
      </c>
      <c r="O26" s="132">
        <v>102632</v>
      </c>
      <c r="P26" s="66"/>
      <c r="Q26" s="66">
        <f t="shared" si="3"/>
        <v>102632</v>
      </c>
      <c r="R26" s="132">
        <v>194518</v>
      </c>
      <c r="S26" s="65"/>
      <c r="T26" s="65">
        <f t="shared" si="4"/>
        <v>194518</v>
      </c>
      <c r="U26" s="132">
        <v>0</v>
      </c>
      <c r="V26" s="66"/>
      <c r="W26" s="66">
        <f t="shared" si="5"/>
        <v>0</v>
      </c>
      <c r="X26" s="132">
        <v>43750</v>
      </c>
      <c r="Y26" s="65"/>
      <c r="Z26" s="65">
        <f t="shared" si="6"/>
        <v>43750</v>
      </c>
      <c r="AA26" s="132"/>
      <c r="AB26" s="66"/>
      <c r="AC26" s="66">
        <f t="shared" si="7"/>
        <v>0</v>
      </c>
      <c r="AD26" s="65"/>
      <c r="AE26" s="65"/>
      <c r="AF26" s="65">
        <f t="shared" si="8"/>
        <v>0</v>
      </c>
      <c r="AG26" s="66"/>
      <c r="AH26" s="66"/>
      <c r="AI26" s="66">
        <f t="shared" si="9"/>
        <v>0</v>
      </c>
      <c r="AJ26" s="65"/>
      <c r="AK26" s="65"/>
      <c r="AL26" s="65">
        <f t="shared" si="10"/>
        <v>0</v>
      </c>
      <c r="AM26" s="66"/>
      <c r="AN26" s="66"/>
      <c r="AO26" s="66">
        <f t="shared" ref="AO26:AO30" si="17">AM26+AN26</f>
        <v>0</v>
      </c>
    </row>
    <row r="27" spans="1:41" s="58" customFormat="1" ht="16.5" customHeight="1" x14ac:dyDescent="0.3">
      <c r="A27" s="68" t="s">
        <v>60</v>
      </c>
      <c r="B27" s="16"/>
      <c r="C27" s="14">
        <f>H27+K27+N27+Q27+T27+W27+Z27+AC27+AF27+AI27+AL27+AO27</f>
        <v>1010128</v>
      </c>
      <c r="D27" s="19">
        <v>35000</v>
      </c>
      <c r="E27" s="3"/>
      <c r="F27" s="132">
        <v>545257</v>
      </c>
      <c r="G27" s="65"/>
      <c r="H27" s="65">
        <f t="shared" si="0"/>
        <v>545257</v>
      </c>
      <c r="I27" s="132">
        <v>32062</v>
      </c>
      <c r="J27" s="66"/>
      <c r="K27" s="66">
        <f t="shared" si="1"/>
        <v>32062</v>
      </c>
      <c r="L27" s="132">
        <v>0</v>
      </c>
      <c r="M27" s="65"/>
      <c r="N27" s="65">
        <f t="shared" si="2"/>
        <v>0</v>
      </c>
      <c r="O27" s="132">
        <v>237152</v>
      </c>
      <c r="P27" s="66"/>
      <c r="Q27" s="66">
        <f t="shared" si="3"/>
        <v>237152</v>
      </c>
      <c r="R27" s="132">
        <v>157782</v>
      </c>
      <c r="S27" s="65"/>
      <c r="T27" s="65">
        <f t="shared" si="4"/>
        <v>157782</v>
      </c>
      <c r="U27" s="132">
        <v>32875</v>
      </c>
      <c r="V27" s="66"/>
      <c r="W27" s="66">
        <f t="shared" si="5"/>
        <v>32875</v>
      </c>
      <c r="X27" s="132">
        <v>0</v>
      </c>
      <c r="Y27" s="65"/>
      <c r="Z27" s="65">
        <f t="shared" si="6"/>
        <v>0</v>
      </c>
      <c r="AA27" s="132">
        <v>5000</v>
      </c>
      <c r="AB27" s="66"/>
      <c r="AC27" s="66">
        <f t="shared" si="7"/>
        <v>5000</v>
      </c>
      <c r="AD27" s="65"/>
      <c r="AE27" s="65"/>
      <c r="AF27" s="65">
        <f t="shared" si="8"/>
        <v>0</v>
      </c>
      <c r="AG27" s="66"/>
      <c r="AH27" s="66"/>
      <c r="AI27" s="66">
        <f t="shared" si="9"/>
        <v>0</v>
      </c>
      <c r="AJ27" s="65"/>
      <c r="AK27" s="65"/>
      <c r="AL27" s="65">
        <f t="shared" si="10"/>
        <v>0</v>
      </c>
      <c r="AM27" s="66"/>
      <c r="AN27" s="66"/>
      <c r="AO27" s="66">
        <f t="shared" si="17"/>
        <v>0</v>
      </c>
    </row>
    <row r="28" spans="1:41" s="58" customFormat="1" ht="16.5" customHeight="1" x14ac:dyDescent="0.3">
      <c r="A28" s="68" t="s">
        <v>62</v>
      </c>
      <c r="B28" s="16"/>
      <c r="C28" s="14">
        <f>H28+K28+N28+Q28+T28+W28+Z28+AC28+AF28+AI28+AL28+AO28</f>
        <v>173118</v>
      </c>
      <c r="D28" s="19">
        <v>0</v>
      </c>
      <c r="E28" s="3"/>
      <c r="F28" s="132">
        <v>115987</v>
      </c>
      <c r="G28" s="65"/>
      <c r="H28" s="65">
        <f t="shared" si="0"/>
        <v>115987</v>
      </c>
      <c r="I28" s="132">
        <v>15600</v>
      </c>
      <c r="J28" s="66"/>
      <c r="K28" s="66">
        <f t="shared" si="1"/>
        <v>15600</v>
      </c>
      <c r="L28" s="132"/>
      <c r="M28" s="65"/>
      <c r="N28" s="65">
        <f t="shared" si="2"/>
        <v>0</v>
      </c>
      <c r="O28" s="132">
        <v>18000</v>
      </c>
      <c r="P28" s="66"/>
      <c r="Q28" s="66">
        <f t="shared" si="3"/>
        <v>18000</v>
      </c>
      <c r="R28" s="132">
        <v>23531</v>
      </c>
      <c r="S28" s="65"/>
      <c r="T28" s="65">
        <f t="shared" si="4"/>
        <v>23531</v>
      </c>
      <c r="U28" s="132"/>
      <c r="V28" s="66"/>
      <c r="W28" s="66">
        <f t="shared" si="5"/>
        <v>0</v>
      </c>
      <c r="X28" s="132"/>
      <c r="Y28" s="65"/>
      <c r="Z28" s="65">
        <f t="shared" si="6"/>
        <v>0</v>
      </c>
      <c r="AA28" s="132"/>
      <c r="AB28" s="66"/>
      <c r="AC28" s="66">
        <f t="shared" si="7"/>
        <v>0</v>
      </c>
      <c r="AD28" s="65"/>
      <c r="AE28" s="65"/>
      <c r="AF28" s="65">
        <f t="shared" si="8"/>
        <v>0</v>
      </c>
      <c r="AG28" s="66"/>
      <c r="AH28" s="66"/>
      <c r="AI28" s="66">
        <f t="shared" si="9"/>
        <v>0</v>
      </c>
      <c r="AJ28" s="65"/>
      <c r="AK28" s="65"/>
      <c r="AL28" s="65">
        <f t="shared" si="10"/>
        <v>0</v>
      </c>
      <c r="AM28" s="66"/>
      <c r="AN28" s="66"/>
      <c r="AO28" s="66">
        <f t="shared" si="17"/>
        <v>0</v>
      </c>
    </row>
    <row r="29" spans="1:41" s="58" customFormat="1" ht="16.5" customHeight="1" x14ac:dyDescent="0.3">
      <c r="A29" s="68" t="s">
        <v>61</v>
      </c>
      <c r="B29" s="16"/>
      <c r="C29" s="14">
        <f>H29+K29+N29+Q29+T29+W29+Z29+AC29+AF29+AI29+AL29+AO29</f>
        <v>148485</v>
      </c>
      <c r="D29" s="19">
        <v>45000</v>
      </c>
      <c r="E29" s="3"/>
      <c r="F29" s="132">
        <v>148485</v>
      </c>
      <c r="G29" s="65"/>
      <c r="H29" s="65">
        <f t="shared" si="0"/>
        <v>148485</v>
      </c>
      <c r="I29" s="132"/>
      <c r="J29" s="66"/>
      <c r="K29" s="66">
        <f t="shared" si="1"/>
        <v>0</v>
      </c>
      <c r="L29" s="132"/>
      <c r="M29" s="65"/>
      <c r="N29" s="65">
        <f t="shared" si="2"/>
        <v>0</v>
      </c>
      <c r="O29" s="132"/>
      <c r="P29" s="66"/>
      <c r="Q29" s="66">
        <f t="shared" si="3"/>
        <v>0</v>
      </c>
      <c r="R29" s="132"/>
      <c r="S29" s="65"/>
      <c r="T29" s="65">
        <f t="shared" si="4"/>
        <v>0</v>
      </c>
      <c r="U29" s="132"/>
      <c r="V29" s="66"/>
      <c r="W29" s="66">
        <f t="shared" si="5"/>
        <v>0</v>
      </c>
      <c r="X29" s="132"/>
      <c r="Y29" s="65"/>
      <c r="Z29" s="65">
        <f t="shared" si="6"/>
        <v>0</v>
      </c>
      <c r="AA29" s="132"/>
      <c r="AB29" s="66"/>
      <c r="AC29" s="66">
        <f t="shared" si="7"/>
        <v>0</v>
      </c>
      <c r="AD29" s="65"/>
      <c r="AE29" s="65"/>
      <c r="AF29" s="65">
        <f t="shared" si="8"/>
        <v>0</v>
      </c>
      <c r="AG29" s="66"/>
      <c r="AH29" s="66"/>
      <c r="AI29" s="66">
        <f t="shared" si="9"/>
        <v>0</v>
      </c>
      <c r="AJ29" s="65"/>
      <c r="AK29" s="65"/>
      <c r="AL29" s="65">
        <f t="shared" si="10"/>
        <v>0</v>
      </c>
      <c r="AM29" s="66"/>
      <c r="AN29" s="66"/>
      <c r="AO29" s="66">
        <f t="shared" si="17"/>
        <v>0</v>
      </c>
    </row>
    <row r="30" spans="1:41" s="58" customFormat="1" ht="17.25" x14ac:dyDescent="0.3">
      <c r="A30" s="68" t="s">
        <v>63</v>
      </c>
      <c r="B30" s="16"/>
      <c r="C30" s="14">
        <f>H30+K30+N30+Q30+T30+W30+Z30+AC30+AF30+AI30+AL30+AO30</f>
        <v>2085499</v>
      </c>
      <c r="D30" s="19">
        <v>20000</v>
      </c>
      <c r="E30" s="3"/>
      <c r="F30" s="132">
        <f>736334+147706</f>
        <v>884040</v>
      </c>
      <c r="G30" s="120">
        <v>-147706</v>
      </c>
      <c r="H30" s="65">
        <f t="shared" si="0"/>
        <v>736334</v>
      </c>
      <c r="I30" s="132">
        <v>455541</v>
      </c>
      <c r="J30" s="66"/>
      <c r="K30" s="66">
        <f t="shared" si="1"/>
        <v>455541</v>
      </c>
      <c r="L30" s="132"/>
      <c r="M30" s="65"/>
      <c r="N30" s="65">
        <f t="shared" si="2"/>
        <v>0</v>
      </c>
      <c r="O30" s="132">
        <v>573867</v>
      </c>
      <c r="P30" s="120">
        <v>0</v>
      </c>
      <c r="Q30" s="66">
        <f t="shared" si="3"/>
        <v>573867</v>
      </c>
      <c r="R30" s="132">
        <v>286233</v>
      </c>
      <c r="S30" s="120"/>
      <c r="T30" s="65">
        <f t="shared" si="4"/>
        <v>286233</v>
      </c>
      <c r="U30" s="132">
        <v>6843</v>
      </c>
      <c r="V30" s="66"/>
      <c r="W30" s="66">
        <f t="shared" si="5"/>
        <v>6843</v>
      </c>
      <c r="X30" s="132">
        <v>4000</v>
      </c>
      <c r="Y30" s="65"/>
      <c r="Z30" s="65">
        <f t="shared" si="6"/>
        <v>4000</v>
      </c>
      <c r="AA30" s="132">
        <v>12017</v>
      </c>
      <c r="AB30" s="66"/>
      <c r="AC30" s="66">
        <f t="shared" si="7"/>
        <v>12017</v>
      </c>
      <c r="AD30" s="65">
        <v>10664</v>
      </c>
      <c r="AE30" s="120"/>
      <c r="AF30" s="65">
        <f t="shared" si="8"/>
        <v>10664</v>
      </c>
      <c r="AG30" s="66"/>
      <c r="AH30" s="66"/>
      <c r="AI30" s="66">
        <f t="shared" si="9"/>
        <v>0</v>
      </c>
      <c r="AJ30" s="65"/>
      <c r="AK30" s="65"/>
      <c r="AL30" s="65">
        <f t="shared" si="10"/>
        <v>0</v>
      </c>
      <c r="AM30" s="66"/>
      <c r="AN30" s="66"/>
      <c r="AO30" s="66">
        <f t="shared" si="17"/>
        <v>0</v>
      </c>
    </row>
    <row r="31" spans="1:41" s="58" customFormat="1" ht="17.25" x14ac:dyDescent="0.3">
      <c r="A31" s="4" t="s">
        <v>7</v>
      </c>
      <c r="B31" s="16"/>
      <c r="C31" s="17">
        <f>SUM(C26:C30)</f>
        <v>3821852</v>
      </c>
      <c r="D31" s="17">
        <f>SUM(D27:D30)</f>
        <v>100000</v>
      </c>
      <c r="E31" s="3"/>
      <c r="F31" s="17">
        <f t="shared" ref="F31:AO31" si="18">SUM(F26:F30)</f>
        <v>1693769</v>
      </c>
      <c r="G31" s="17">
        <f t="shared" si="18"/>
        <v>-147706</v>
      </c>
      <c r="H31" s="17">
        <f t="shared" si="18"/>
        <v>1546063</v>
      </c>
      <c r="I31" s="17">
        <f t="shared" si="18"/>
        <v>566925</v>
      </c>
      <c r="J31" s="17">
        <f t="shared" si="18"/>
        <v>0</v>
      </c>
      <c r="K31" s="17">
        <f t="shared" si="18"/>
        <v>566925</v>
      </c>
      <c r="L31" s="17">
        <f t="shared" si="18"/>
        <v>0</v>
      </c>
      <c r="M31" s="17">
        <f t="shared" si="18"/>
        <v>0</v>
      </c>
      <c r="N31" s="17">
        <f t="shared" si="18"/>
        <v>0</v>
      </c>
      <c r="O31" s="17">
        <f t="shared" si="18"/>
        <v>931651</v>
      </c>
      <c r="P31" s="17">
        <f t="shared" si="18"/>
        <v>0</v>
      </c>
      <c r="Q31" s="17">
        <f t="shared" si="18"/>
        <v>931651</v>
      </c>
      <c r="R31" s="17">
        <f t="shared" si="18"/>
        <v>662064</v>
      </c>
      <c r="S31" s="17">
        <f t="shared" si="18"/>
        <v>0</v>
      </c>
      <c r="T31" s="17">
        <f t="shared" si="18"/>
        <v>662064</v>
      </c>
      <c r="U31" s="17">
        <f t="shared" si="18"/>
        <v>39718</v>
      </c>
      <c r="V31" s="17">
        <f t="shared" si="18"/>
        <v>0</v>
      </c>
      <c r="W31" s="17">
        <f t="shared" si="18"/>
        <v>39718</v>
      </c>
      <c r="X31" s="17">
        <f t="shared" si="18"/>
        <v>47750</v>
      </c>
      <c r="Y31" s="17">
        <f t="shared" si="18"/>
        <v>0</v>
      </c>
      <c r="Z31" s="17">
        <f t="shared" si="18"/>
        <v>47750</v>
      </c>
      <c r="AA31" s="17">
        <f t="shared" si="18"/>
        <v>17017</v>
      </c>
      <c r="AB31" s="17">
        <f t="shared" si="18"/>
        <v>0</v>
      </c>
      <c r="AC31" s="17">
        <f t="shared" si="18"/>
        <v>17017</v>
      </c>
      <c r="AD31" s="17">
        <f t="shared" si="18"/>
        <v>10664</v>
      </c>
      <c r="AE31" s="17">
        <f t="shared" si="18"/>
        <v>0</v>
      </c>
      <c r="AF31" s="17">
        <f t="shared" si="18"/>
        <v>10664</v>
      </c>
      <c r="AG31" s="17">
        <f t="shared" si="18"/>
        <v>0</v>
      </c>
      <c r="AH31" s="17">
        <f t="shared" si="18"/>
        <v>0</v>
      </c>
      <c r="AI31" s="17">
        <f t="shared" si="18"/>
        <v>0</v>
      </c>
      <c r="AJ31" s="17">
        <f t="shared" si="18"/>
        <v>0</v>
      </c>
      <c r="AK31" s="17">
        <f t="shared" si="18"/>
        <v>0</v>
      </c>
      <c r="AL31" s="17">
        <f t="shared" si="18"/>
        <v>0</v>
      </c>
      <c r="AM31" s="17">
        <f t="shared" si="18"/>
        <v>0</v>
      </c>
      <c r="AN31" s="17">
        <f t="shared" si="18"/>
        <v>0</v>
      </c>
      <c r="AO31" s="17">
        <f t="shared" si="18"/>
        <v>0</v>
      </c>
    </row>
    <row r="32" spans="1:41" s="58" customFormat="1" ht="17.25" x14ac:dyDescent="0.3">
      <c r="A32" s="15"/>
      <c r="B32" s="16"/>
      <c r="C32" s="20"/>
      <c r="D32" s="20"/>
      <c r="E32" s="3"/>
      <c r="F32" s="65"/>
      <c r="G32" s="65"/>
      <c r="H32" s="65">
        <f t="shared" si="0"/>
        <v>0</v>
      </c>
      <c r="I32" s="66"/>
      <c r="J32" s="66"/>
      <c r="K32" s="66">
        <f t="shared" si="1"/>
        <v>0</v>
      </c>
      <c r="L32" s="65"/>
      <c r="M32" s="65"/>
      <c r="N32" s="65">
        <f t="shared" si="2"/>
        <v>0</v>
      </c>
      <c r="O32" s="66"/>
      <c r="P32" s="66"/>
      <c r="Q32" s="66">
        <f t="shared" si="3"/>
        <v>0</v>
      </c>
      <c r="R32" s="65"/>
      <c r="S32" s="65"/>
      <c r="T32" s="65">
        <f t="shared" si="4"/>
        <v>0</v>
      </c>
      <c r="U32" s="66"/>
      <c r="V32" s="66"/>
      <c r="W32" s="66">
        <f t="shared" si="5"/>
        <v>0</v>
      </c>
      <c r="X32" s="65"/>
      <c r="Y32" s="65"/>
      <c r="Z32" s="65">
        <f t="shared" si="6"/>
        <v>0</v>
      </c>
      <c r="AA32" s="66"/>
      <c r="AB32" s="66"/>
      <c r="AC32" s="66">
        <f t="shared" si="7"/>
        <v>0</v>
      </c>
      <c r="AD32" s="65"/>
      <c r="AE32" s="65"/>
      <c r="AF32" s="65">
        <f t="shared" si="8"/>
        <v>0</v>
      </c>
      <c r="AG32" s="66"/>
      <c r="AH32" s="66"/>
      <c r="AI32" s="66">
        <f t="shared" si="9"/>
        <v>0</v>
      </c>
      <c r="AJ32" s="65"/>
      <c r="AK32" s="65"/>
      <c r="AL32" s="65">
        <f t="shared" si="10"/>
        <v>0</v>
      </c>
      <c r="AM32" s="66"/>
      <c r="AN32" s="66"/>
      <c r="AO32" s="66">
        <f t="shared" ref="AO32" si="19">AM32+AN32</f>
        <v>0</v>
      </c>
    </row>
    <row r="33" spans="1:41" s="58" customFormat="1" ht="17.25" x14ac:dyDescent="0.3">
      <c r="A33" s="4" t="s">
        <v>8</v>
      </c>
      <c r="B33" s="16"/>
      <c r="C33" s="21">
        <f>C22-C31</f>
        <v>-168753</v>
      </c>
      <c r="D33" s="21">
        <f>D22-D31</f>
        <v>280000</v>
      </c>
      <c r="E33" s="3"/>
      <c r="F33" s="21">
        <f t="shared" ref="F33:AO33" si="20">F22-F31</f>
        <v>-121068</v>
      </c>
      <c r="G33" s="21">
        <f t="shared" si="20"/>
        <v>47706</v>
      </c>
      <c r="H33" s="21">
        <f t="shared" si="20"/>
        <v>-73362</v>
      </c>
      <c r="I33" s="21">
        <f t="shared" si="20"/>
        <v>7925</v>
      </c>
      <c r="J33" s="21">
        <f t="shared" si="20"/>
        <v>-50024</v>
      </c>
      <c r="K33" s="21">
        <f t="shared" si="20"/>
        <v>-42099</v>
      </c>
      <c r="L33" s="21">
        <f t="shared" si="20"/>
        <v>0</v>
      </c>
      <c r="M33" s="21">
        <f t="shared" si="20"/>
        <v>0</v>
      </c>
      <c r="N33" s="21">
        <f t="shared" si="20"/>
        <v>0</v>
      </c>
      <c r="O33" s="21">
        <f t="shared" si="20"/>
        <v>-131995</v>
      </c>
      <c r="P33" s="21">
        <f t="shared" si="20"/>
        <v>-235571</v>
      </c>
      <c r="Q33" s="21">
        <f t="shared" si="20"/>
        <v>-367566</v>
      </c>
      <c r="R33" s="21">
        <f t="shared" si="20"/>
        <v>290739</v>
      </c>
      <c r="S33" s="21">
        <f t="shared" si="20"/>
        <v>0</v>
      </c>
      <c r="T33" s="21">
        <f t="shared" si="20"/>
        <v>290739</v>
      </c>
      <c r="U33" s="21">
        <f t="shared" si="20"/>
        <v>1085</v>
      </c>
      <c r="V33" s="21">
        <f t="shared" si="20"/>
        <v>-20280</v>
      </c>
      <c r="W33" s="21">
        <f t="shared" si="20"/>
        <v>-19195</v>
      </c>
      <c r="X33" s="21">
        <f t="shared" si="20"/>
        <v>11750</v>
      </c>
      <c r="Y33" s="21">
        <f t="shared" si="20"/>
        <v>0</v>
      </c>
      <c r="Z33" s="21">
        <f t="shared" si="20"/>
        <v>11750</v>
      </c>
      <c r="AA33" s="21">
        <f t="shared" si="20"/>
        <v>18083</v>
      </c>
      <c r="AB33" s="21">
        <f t="shared" si="20"/>
        <v>0</v>
      </c>
      <c r="AC33" s="21">
        <f t="shared" si="20"/>
        <v>18083</v>
      </c>
      <c r="AD33" s="21">
        <f t="shared" si="20"/>
        <v>12897</v>
      </c>
      <c r="AE33" s="21">
        <f t="shared" si="20"/>
        <v>0</v>
      </c>
      <c r="AF33" s="21">
        <f t="shared" si="20"/>
        <v>12897</v>
      </c>
      <c r="AG33" s="21">
        <f t="shared" si="20"/>
        <v>0</v>
      </c>
      <c r="AH33" s="21">
        <f t="shared" si="20"/>
        <v>0</v>
      </c>
      <c r="AI33" s="21">
        <f t="shared" si="20"/>
        <v>0</v>
      </c>
      <c r="AJ33" s="21">
        <f t="shared" si="20"/>
        <v>0</v>
      </c>
      <c r="AK33" s="21">
        <f t="shared" si="20"/>
        <v>0</v>
      </c>
      <c r="AL33" s="21">
        <f t="shared" si="20"/>
        <v>0</v>
      </c>
      <c r="AM33" s="21">
        <f t="shared" si="20"/>
        <v>0</v>
      </c>
      <c r="AN33" s="21">
        <f t="shared" si="20"/>
        <v>0</v>
      </c>
      <c r="AO33" s="21">
        <f t="shared" si="20"/>
        <v>0</v>
      </c>
    </row>
    <row r="34" spans="1:41" s="58" customFormat="1" ht="23.1" customHeight="1" x14ac:dyDescent="0.3">
      <c r="A34" s="22"/>
      <c r="B34" s="16"/>
      <c r="C34" s="18"/>
      <c r="D34" s="18"/>
      <c r="E34" s="3"/>
      <c r="F34" s="65"/>
      <c r="G34" s="65"/>
      <c r="H34" s="65"/>
      <c r="I34" s="66"/>
      <c r="J34" s="66"/>
      <c r="K34" s="66"/>
      <c r="L34" s="65"/>
      <c r="M34" s="65"/>
      <c r="N34" s="65"/>
      <c r="O34" s="66"/>
      <c r="P34" s="66"/>
      <c r="Q34" s="66"/>
      <c r="R34" s="65"/>
      <c r="S34" s="65"/>
      <c r="T34" s="65"/>
      <c r="U34" s="66"/>
      <c r="V34" s="66"/>
      <c r="W34" s="66"/>
      <c r="X34" s="65"/>
      <c r="Y34" s="65"/>
      <c r="Z34" s="65"/>
      <c r="AA34" s="66"/>
      <c r="AB34" s="66"/>
      <c r="AC34" s="66"/>
      <c r="AD34" s="65"/>
      <c r="AE34" s="65"/>
      <c r="AF34" s="65"/>
      <c r="AG34" s="66"/>
      <c r="AH34" s="66"/>
      <c r="AI34" s="66"/>
      <c r="AJ34" s="65"/>
      <c r="AK34" s="65"/>
      <c r="AL34" s="65"/>
      <c r="AM34" s="66"/>
      <c r="AN34" s="66"/>
      <c r="AO34" s="66"/>
    </row>
    <row r="35" spans="1:41" s="58" customFormat="1" ht="17.25" x14ac:dyDescent="0.3">
      <c r="A35" s="4" t="s">
        <v>9</v>
      </c>
      <c r="B35" s="16"/>
      <c r="C35" s="19"/>
      <c r="D35" s="19"/>
      <c r="E35" s="3"/>
      <c r="F35" s="65"/>
      <c r="G35" s="65"/>
      <c r="H35" s="65"/>
      <c r="I35" s="66"/>
      <c r="J35" s="66"/>
      <c r="K35" s="66"/>
      <c r="L35" s="65"/>
      <c r="M35" s="65"/>
      <c r="N35" s="65"/>
      <c r="O35" s="66"/>
      <c r="P35" s="66"/>
      <c r="Q35" s="66"/>
      <c r="R35" s="65"/>
      <c r="S35" s="65"/>
      <c r="T35" s="65"/>
      <c r="U35" s="66"/>
      <c r="V35" s="66"/>
      <c r="W35" s="66"/>
      <c r="X35" s="65"/>
      <c r="Y35" s="65"/>
      <c r="Z35" s="65"/>
      <c r="AA35" s="66"/>
      <c r="AB35" s="66"/>
      <c r="AC35" s="66"/>
      <c r="AD35" s="65"/>
      <c r="AE35" s="65"/>
      <c r="AF35" s="65"/>
      <c r="AG35" s="66"/>
      <c r="AH35" s="66"/>
      <c r="AI35" s="66"/>
      <c r="AJ35" s="65"/>
      <c r="AK35" s="65"/>
      <c r="AL35" s="65"/>
      <c r="AM35" s="66"/>
      <c r="AN35" s="66"/>
      <c r="AO35" s="66"/>
    </row>
    <row r="36" spans="1:41" s="58" customFormat="1" ht="9.9499999999999993" customHeight="1" x14ac:dyDescent="0.3">
      <c r="A36" s="4"/>
      <c r="B36" s="16"/>
      <c r="C36" s="19"/>
      <c r="D36" s="19"/>
      <c r="E36" s="3"/>
      <c r="F36" s="65"/>
      <c r="G36" s="65"/>
      <c r="H36" s="65"/>
      <c r="I36" s="66"/>
      <c r="J36" s="66"/>
      <c r="K36" s="66"/>
      <c r="L36" s="65"/>
      <c r="M36" s="65"/>
      <c r="N36" s="65"/>
      <c r="O36" s="66"/>
      <c r="P36" s="66"/>
      <c r="Q36" s="66"/>
      <c r="R36" s="65"/>
      <c r="S36" s="65"/>
      <c r="T36" s="65"/>
      <c r="U36" s="66"/>
      <c r="V36" s="66"/>
      <c r="W36" s="66"/>
      <c r="X36" s="65"/>
      <c r="Y36" s="65"/>
      <c r="Z36" s="65"/>
      <c r="AA36" s="66"/>
      <c r="AB36" s="66"/>
      <c r="AC36" s="66"/>
      <c r="AD36" s="65"/>
      <c r="AE36" s="65"/>
      <c r="AF36" s="65"/>
      <c r="AG36" s="66"/>
      <c r="AH36" s="66"/>
      <c r="AI36" s="66"/>
      <c r="AJ36" s="65"/>
      <c r="AK36" s="65"/>
      <c r="AL36" s="65"/>
      <c r="AM36" s="66"/>
      <c r="AN36" s="66"/>
      <c r="AO36" s="66"/>
    </row>
    <row r="37" spans="1:41" s="58" customFormat="1" ht="17.25" x14ac:dyDescent="0.3">
      <c r="A37" s="15" t="s">
        <v>10</v>
      </c>
      <c r="B37" s="16"/>
      <c r="C37" s="14">
        <f>H37+K37+N37+Q37+T37+W37+Z37+AC37+AF37+AI37+AL37+AO37</f>
        <v>39555</v>
      </c>
      <c r="D37" s="19">
        <v>0</v>
      </c>
      <c r="E37" s="3"/>
      <c r="F37" s="132">
        <v>698</v>
      </c>
      <c r="G37" s="65"/>
      <c r="H37" s="65">
        <f t="shared" si="0"/>
        <v>698</v>
      </c>
      <c r="I37" s="132">
        <v>2914</v>
      </c>
      <c r="J37" s="66"/>
      <c r="K37" s="66">
        <f t="shared" si="1"/>
        <v>2914</v>
      </c>
      <c r="L37" s="132">
        <v>0</v>
      </c>
      <c r="M37" s="65"/>
      <c r="N37" s="65">
        <f t="shared" si="2"/>
        <v>0</v>
      </c>
      <c r="O37" s="132">
        <v>263</v>
      </c>
      <c r="P37" s="66"/>
      <c r="Q37" s="66">
        <f t="shared" si="3"/>
        <v>263</v>
      </c>
      <c r="R37" s="132">
        <v>35217</v>
      </c>
      <c r="S37" s="65"/>
      <c r="T37" s="65">
        <f t="shared" si="4"/>
        <v>35217</v>
      </c>
      <c r="U37" s="132">
        <v>122</v>
      </c>
      <c r="V37" s="66"/>
      <c r="W37" s="66">
        <f t="shared" si="5"/>
        <v>122</v>
      </c>
      <c r="X37" s="132">
        <v>148</v>
      </c>
      <c r="Y37" s="65"/>
      <c r="Z37" s="65">
        <f t="shared" si="6"/>
        <v>148</v>
      </c>
      <c r="AA37" s="132">
        <v>140</v>
      </c>
      <c r="AB37" s="66"/>
      <c r="AC37" s="66">
        <f t="shared" si="7"/>
        <v>140</v>
      </c>
      <c r="AD37" s="65">
        <v>53</v>
      </c>
      <c r="AE37" s="65"/>
      <c r="AF37" s="65">
        <f t="shared" si="8"/>
        <v>53</v>
      </c>
      <c r="AG37" s="66"/>
      <c r="AH37" s="66"/>
      <c r="AI37" s="66">
        <f t="shared" si="9"/>
        <v>0</v>
      </c>
      <c r="AJ37" s="65"/>
      <c r="AK37" s="65"/>
      <c r="AL37" s="65">
        <f t="shared" si="10"/>
        <v>0</v>
      </c>
      <c r="AM37" s="66"/>
      <c r="AN37" s="66"/>
      <c r="AO37" s="66">
        <f t="shared" ref="AO37:AO39" si="21">AM37+AN37</f>
        <v>0</v>
      </c>
    </row>
    <row r="38" spans="1:41" s="58" customFormat="1" ht="17.25" x14ac:dyDescent="0.3">
      <c r="A38" s="68" t="s">
        <v>64</v>
      </c>
      <c r="B38" s="16"/>
      <c r="C38" s="14">
        <f>H38+K38+N38+Q38+T38+W38+Z38+AC38+AF38+AI38+AL38+AO38</f>
        <v>889</v>
      </c>
      <c r="D38" s="19"/>
      <c r="E38" s="3"/>
      <c r="F38" s="132">
        <v>889</v>
      </c>
      <c r="G38" s="65"/>
      <c r="H38" s="65">
        <f t="shared" si="0"/>
        <v>889</v>
      </c>
      <c r="I38" s="132">
        <v>0</v>
      </c>
      <c r="J38" s="66"/>
      <c r="K38" s="66">
        <f t="shared" si="1"/>
        <v>0</v>
      </c>
      <c r="L38" s="132"/>
      <c r="M38" s="65"/>
      <c r="N38" s="65">
        <f t="shared" si="2"/>
        <v>0</v>
      </c>
      <c r="O38" s="132">
        <v>0</v>
      </c>
      <c r="P38" s="66"/>
      <c r="Q38" s="66">
        <f t="shared" si="3"/>
        <v>0</v>
      </c>
      <c r="R38" s="132">
        <v>0</v>
      </c>
      <c r="S38" s="65"/>
      <c r="T38" s="65">
        <f t="shared" si="4"/>
        <v>0</v>
      </c>
      <c r="U38" s="132">
        <v>0</v>
      </c>
      <c r="V38" s="66"/>
      <c r="W38" s="66">
        <f t="shared" si="5"/>
        <v>0</v>
      </c>
      <c r="X38" s="132">
        <v>0</v>
      </c>
      <c r="Y38" s="65"/>
      <c r="Z38" s="65">
        <f t="shared" si="6"/>
        <v>0</v>
      </c>
      <c r="AA38" s="132"/>
      <c r="AB38" s="66"/>
      <c r="AC38" s="66">
        <f t="shared" si="7"/>
        <v>0</v>
      </c>
      <c r="AD38" s="65"/>
      <c r="AE38" s="65"/>
      <c r="AF38" s="65">
        <f t="shared" si="8"/>
        <v>0</v>
      </c>
      <c r="AG38" s="66"/>
      <c r="AH38" s="66"/>
      <c r="AI38" s="66">
        <f t="shared" si="9"/>
        <v>0</v>
      </c>
      <c r="AJ38" s="65"/>
      <c r="AK38" s="65"/>
      <c r="AL38" s="65">
        <f t="shared" si="10"/>
        <v>0</v>
      </c>
      <c r="AM38" s="66"/>
      <c r="AN38" s="66"/>
      <c r="AO38" s="66">
        <f t="shared" si="21"/>
        <v>0</v>
      </c>
    </row>
    <row r="39" spans="1:41" s="58" customFormat="1" ht="17.25" x14ac:dyDescent="0.3">
      <c r="A39" s="68" t="s">
        <v>65</v>
      </c>
      <c r="B39" s="16"/>
      <c r="C39" s="14">
        <f>H39+K39+N39+Q39+T39+W39+Z39+AC39+AF39+AI39+AL39+AO39</f>
        <v>0</v>
      </c>
      <c r="D39" s="19"/>
      <c r="E39" s="3"/>
      <c r="F39" s="132"/>
      <c r="G39" s="65"/>
      <c r="H39" s="65">
        <f t="shared" si="0"/>
        <v>0</v>
      </c>
      <c r="I39" s="132"/>
      <c r="J39" s="66"/>
      <c r="K39" s="66">
        <f t="shared" si="1"/>
        <v>0</v>
      </c>
      <c r="L39" s="132"/>
      <c r="M39" s="65"/>
      <c r="N39" s="65">
        <f t="shared" si="2"/>
        <v>0</v>
      </c>
      <c r="O39" s="132"/>
      <c r="P39" s="66"/>
      <c r="Q39" s="66">
        <f t="shared" si="3"/>
        <v>0</v>
      </c>
      <c r="R39" s="132"/>
      <c r="S39" s="65"/>
      <c r="T39" s="65">
        <f t="shared" si="4"/>
        <v>0</v>
      </c>
      <c r="U39" s="132"/>
      <c r="V39" s="66"/>
      <c r="W39" s="66">
        <f t="shared" si="5"/>
        <v>0</v>
      </c>
      <c r="X39" s="132"/>
      <c r="Y39" s="65"/>
      <c r="Z39" s="65">
        <f t="shared" si="6"/>
        <v>0</v>
      </c>
      <c r="AA39" s="132"/>
      <c r="AB39" s="66"/>
      <c r="AC39" s="66">
        <f t="shared" si="7"/>
        <v>0</v>
      </c>
      <c r="AD39" s="65"/>
      <c r="AE39" s="65"/>
      <c r="AF39" s="65">
        <f t="shared" si="8"/>
        <v>0</v>
      </c>
      <c r="AG39" s="66"/>
      <c r="AH39" s="66"/>
      <c r="AI39" s="66">
        <f t="shared" si="9"/>
        <v>0</v>
      </c>
      <c r="AJ39" s="65"/>
      <c r="AK39" s="65"/>
      <c r="AL39" s="65">
        <f t="shared" si="10"/>
        <v>0</v>
      </c>
      <c r="AM39" s="66"/>
      <c r="AN39" s="66"/>
      <c r="AO39" s="66">
        <f t="shared" si="21"/>
        <v>0</v>
      </c>
    </row>
    <row r="40" spans="1:41" s="58" customFormat="1" ht="21.95" customHeight="1" x14ac:dyDescent="0.3">
      <c r="A40" s="4" t="s">
        <v>11</v>
      </c>
      <c r="B40" s="16"/>
      <c r="C40" s="17">
        <f>C37-C38-C39</f>
        <v>38666</v>
      </c>
      <c r="D40" s="17">
        <f>SUM(D37:D37)</f>
        <v>0</v>
      </c>
      <c r="E40" s="3"/>
      <c r="F40" s="17">
        <f t="shared" ref="F40:AO40" si="22">F37-F38-F39</f>
        <v>-191</v>
      </c>
      <c r="G40" s="17">
        <f t="shared" si="22"/>
        <v>0</v>
      </c>
      <c r="H40" s="17">
        <f t="shared" si="22"/>
        <v>-191</v>
      </c>
      <c r="I40" s="17">
        <f t="shared" si="22"/>
        <v>2914</v>
      </c>
      <c r="J40" s="17">
        <f t="shared" si="22"/>
        <v>0</v>
      </c>
      <c r="K40" s="17">
        <f t="shared" si="22"/>
        <v>2914</v>
      </c>
      <c r="L40" s="17">
        <f t="shared" si="22"/>
        <v>0</v>
      </c>
      <c r="M40" s="17">
        <f t="shared" si="22"/>
        <v>0</v>
      </c>
      <c r="N40" s="17">
        <f t="shared" si="22"/>
        <v>0</v>
      </c>
      <c r="O40" s="17">
        <f t="shared" si="22"/>
        <v>263</v>
      </c>
      <c r="P40" s="17">
        <f t="shared" si="22"/>
        <v>0</v>
      </c>
      <c r="Q40" s="17">
        <f t="shared" si="22"/>
        <v>263</v>
      </c>
      <c r="R40" s="17">
        <f t="shared" si="22"/>
        <v>35217</v>
      </c>
      <c r="S40" s="17">
        <f t="shared" si="22"/>
        <v>0</v>
      </c>
      <c r="T40" s="17">
        <f t="shared" si="22"/>
        <v>35217</v>
      </c>
      <c r="U40" s="17">
        <f t="shared" si="22"/>
        <v>122</v>
      </c>
      <c r="V40" s="17">
        <f t="shared" si="22"/>
        <v>0</v>
      </c>
      <c r="W40" s="17">
        <f t="shared" si="22"/>
        <v>122</v>
      </c>
      <c r="X40" s="17">
        <f t="shared" si="22"/>
        <v>148</v>
      </c>
      <c r="Y40" s="17">
        <f t="shared" si="22"/>
        <v>0</v>
      </c>
      <c r="Z40" s="17">
        <f t="shared" si="22"/>
        <v>148</v>
      </c>
      <c r="AA40" s="17">
        <f t="shared" si="22"/>
        <v>140</v>
      </c>
      <c r="AB40" s="17">
        <f t="shared" si="22"/>
        <v>0</v>
      </c>
      <c r="AC40" s="17">
        <f t="shared" si="22"/>
        <v>140</v>
      </c>
      <c r="AD40" s="17">
        <f t="shared" si="22"/>
        <v>53</v>
      </c>
      <c r="AE40" s="17">
        <f t="shared" si="22"/>
        <v>0</v>
      </c>
      <c r="AF40" s="17">
        <f t="shared" si="22"/>
        <v>53</v>
      </c>
      <c r="AG40" s="17">
        <f t="shared" si="22"/>
        <v>0</v>
      </c>
      <c r="AH40" s="17">
        <f t="shared" si="22"/>
        <v>0</v>
      </c>
      <c r="AI40" s="17">
        <f t="shared" si="22"/>
        <v>0</v>
      </c>
      <c r="AJ40" s="17">
        <f t="shared" si="22"/>
        <v>0</v>
      </c>
      <c r="AK40" s="17">
        <f t="shared" si="22"/>
        <v>0</v>
      </c>
      <c r="AL40" s="17">
        <f t="shared" si="22"/>
        <v>0</v>
      </c>
      <c r="AM40" s="17">
        <f t="shared" si="22"/>
        <v>0</v>
      </c>
      <c r="AN40" s="17">
        <f t="shared" si="22"/>
        <v>0</v>
      </c>
      <c r="AO40" s="17">
        <f t="shared" si="22"/>
        <v>0</v>
      </c>
    </row>
    <row r="41" spans="1:41" s="58" customFormat="1" ht="17.25" x14ac:dyDescent="0.3">
      <c r="A41" s="15"/>
      <c r="B41" s="16"/>
      <c r="C41" s="18"/>
      <c r="D41" s="18"/>
      <c r="E41" s="3"/>
      <c r="F41" s="65"/>
      <c r="G41" s="65"/>
      <c r="H41" s="65">
        <f t="shared" si="0"/>
        <v>0</v>
      </c>
      <c r="I41" s="66"/>
      <c r="J41" s="66"/>
      <c r="K41" s="66">
        <f t="shared" si="1"/>
        <v>0</v>
      </c>
      <c r="L41" s="65"/>
      <c r="M41" s="65"/>
      <c r="N41" s="65">
        <f t="shared" si="2"/>
        <v>0</v>
      </c>
      <c r="O41" s="66"/>
      <c r="P41" s="66"/>
      <c r="Q41" s="66">
        <f t="shared" si="3"/>
        <v>0</v>
      </c>
      <c r="R41" s="65"/>
      <c r="S41" s="65"/>
      <c r="T41" s="65">
        <f t="shared" si="4"/>
        <v>0</v>
      </c>
      <c r="U41" s="66"/>
      <c r="V41" s="66"/>
      <c r="W41" s="66">
        <f t="shared" si="5"/>
        <v>0</v>
      </c>
      <c r="X41" s="65"/>
      <c r="Y41" s="65"/>
      <c r="Z41" s="65">
        <f t="shared" si="6"/>
        <v>0</v>
      </c>
      <c r="AA41" s="66"/>
      <c r="AB41" s="66"/>
      <c r="AC41" s="66">
        <f t="shared" si="7"/>
        <v>0</v>
      </c>
      <c r="AD41" s="65"/>
      <c r="AE41" s="65"/>
      <c r="AF41" s="65">
        <f t="shared" si="8"/>
        <v>0</v>
      </c>
      <c r="AG41" s="66"/>
      <c r="AH41" s="66"/>
      <c r="AI41" s="66">
        <f t="shared" si="9"/>
        <v>0</v>
      </c>
      <c r="AJ41" s="65"/>
      <c r="AK41" s="65"/>
      <c r="AL41" s="65">
        <f t="shared" si="10"/>
        <v>0</v>
      </c>
      <c r="AM41" s="66"/>
      <c r="AN41" s="66"/>
      <c r="AO41" s="66">
        <f t="shared" ref="AO41" si="23">AM41+AN41</f>
        <v>0</v>
      </c>
    </row>
    <row r="42" spans="1:41" s="58" customFormat="1" ht="18" thickBot="1" x14ac:dyDescent="0.35">
      <c r="A42" s="4" t="s">
        <v>12</v>
      </c>
      <c r="B42" s="16"/>
      <c r="C42" s="23">
        <f>C33+C40</f>
        <v>-130087</v>
      </c>
      <c r="D42" s="23">
        <f>D33+D40</f>
        <v>280000</v>
      </c>
      <c r="E42" s="3"/>
      <c r="F42" s="23">
        <f>F33+F40</f>
        <v>-121259</v>
      </c>
      <c r="G42" s="23">
        <f t="shared" ref="F42:AO42" si="24">G33+G40</f>
        <v>47706</v>
      </c>
      <c r="H42" s="23">
        <f t="shared" si="24"/>
        <v>-73553</v>
      </c>
      <c r="I42" s="23">
        <f t="shared" si="24"/>
        <v>10839</v>
      </c>
      <c r="J42" s="23">
        <f t="shared" si="24"/>
        <v>-50024</v>
      </c>
      <c r="K42" s="23">
        <f t="shared" si="24"/>
        <v>-39185</v>
      </c>
      <c r="L42" s="23">
        <f t="shared" si="24"/>
        <v>0</v>
      </c>
      <c r="M42" s="23">
        <f t="shared" si="24"/>
        <v>0</v>
      </c>
      <c r="N42" s="23">
        <f t="shared" si="24"/>
        <v>0</v>
      </c>
      <c r="O42" s="23">
        <f t="shared" si="24"/>
        <v>-131732</v>
      </c>
      <c r="P42" s="23">
        <f t="shared" si="24"/>
        <v>-235571</v>
      </c>
      <c r="Q42" s="23">
        <f t="shared" si="24"/>
        <v>-367303</v>
      </c>
      <c r="R42" s="23">
        <f>R33+R40</f>
        <v>325956</v>
      </c>
      <c r="S42" s="23">
        <f t="shared" si="24"/>
        <v>0</v>
      </c>
      <c r="T42" s="23">
        <f t="shared" si="24"/>
        <v>325956</v>
      </c>
      <c r="U42" s="23">
        <f>U33+U40</f>
        <v>1207</v>
      </c>
      <c r="V42" s="23">
        <f t="shared" si="24"/>
        <v>-20280</v>
      </c>
      <c r="W42" s="23">
        <f t="shared" si="24"/>
        <v>-19073</v>
      </c>
      <c r="X42" s="23">
        <f t="shared" si="24"/>
        <v>11898</v>
      </c>
      <c r="Y42" s="23">
        <f t="shared" si="24"/>
        <v>0</v>
      </c>
      <c r="Z42" s="23">
        <f t="shared" si="24"/>
        <v>11898</v>
      </c>
      <c r="AA42" s="23">
        <f t="shared" si="24"/>
        <v>18223</v>
      </c>
      <c r="AB42" s="23">
        <f t="shared" si="24"/>
        <v>0</v>
      </c>
      <c r="AC42" s="23">
        <f t="shared" si="24"/>
        <v>18223</v>
      </c>
      <c r="AD42" s="23">
        <f t="shared" si="24"/>
        <v>12950</v>
      </c>
      <c r="AE42" s="23">
        <f t="shared" si="24"/>
        <v>0</v>
      </c>
      <c r="AF42" s="23">
        <f t="shared" si="24"/>
        <v>12950</v>
      </c>
      <c r="AG42" s="23">
        <f t="shared" si="24"/>
        <v>0</v>
      </c>
      <c r="AH42" s="23">
        <f t="shared" si="24"/>
        <v>0</v>
      </c>
      <c r="AI42" s="23">
        <f t="shared" si="24"/>
        <v>0</v>
      </c>
      <c r="AJ42" s="23">
        <f t="shared" si="24"/>
        <v>0</v>
      </c>
      <c r="AK42" s="23">
        <f t="shared" si="24"/>
        <v>0</v>
      </c>
      <c r="AL42" s="23">
        <f t="shared" si="24"/>
        <v>0</v>
      </c>
      <c r="AM42" s="23">
        <f t="shared" si="24"/>
        <v>0</v>
      </c>
      <c r="AN42" s="23">
        <f t="shared" si="24"/>
        <v>0</v>
      </c>
      <c r="AO42" s="23">
        <f t="shared" si="24"/>
        <v>0</v>
      </c>
    </row>
    <row r="43" spans="1:41" s="58" customFormat="1" ht="18" thickTop="1" x14ac:dyDescent="0.3">
      <c r="A43" s="15"/>
      <c r="B43" s="16"/>
      <c r="C43" s="24"/>
      <c r="D43" s="24"/>
      <c r="E43" s="3"/>
      <c r="F43" s="65"/>
      <c r="G43" s="65"/>
      <c r="H43" s="65"/>
      <c r="I43" s="66"/>
      <c r="J43" s="66"/>
      <c r="K43" s="66"/>
      <c r="L43" s="65"/>
      <c r="M43" s="65"/>
      <c r="N43" s="65"/>
      <c r="O43" s="66"/>
      <c r="P43" s="66"/>
      <c r="Q43" s="66"/>
      <c r="R43" s="65"/>
      <c r="S43" s="65"/>
      <c r="T43" s="65"/>
      <c r="U43" s="66"/>
      <c r="V43" s="66"/>
      <c r="W43" s="66"/>
      <c r="X43" s="65"/>
      <c r="Y43" s="65"/>
      <c r="Z43" s="65"/>
      <c r="AA43" s="66"/>
      <c r="AB43" s="66"/>
      <c r="AC43" s="66"/>
      <c r="AD43" s="65"/>
      <c r="AE43" s="65"/>
      <c r="AF43" s="65"/>
      <c r="AG43" s="66"/>
      <c r="AH43" s="66"/>
      <c r="AI43" s="66"/>
      <c r="AJ43" s="65"/>
      <c r="AK43" s="65"/>
      <c r="AL43" s="65"/>
      <c r="AM43" s="66"/>
      <c r="AN43" s="66"/>
      <c r="AO43" s="66"/>
    </row>
    <row r="44" spans="1:41" s="58" customFormat="1" ht="21.95" customHeight="1" x14ac:dyDescent="0.3">
      <c r="A44" s="15"/>
      <c r="B44" s="16"/>
      <c r="C44" s="24"/>
      <c r="D44" s="24"/>
      <c r="E44" s="3"/>
      <c r="F44" s="65"/>
      <c r="G44" s="65"/>
      <c r="H44" s="65"/>
      <c r="I44" s="66"/>
      <c r="J44" s="66"/>
      <c r="K44" s="66"/>
      <c r="L44" s="65"/>
      <c r="M44" s="65"/>
      <c r="N44" s="65"/>
      <c r="O44" s="66"/>
      <c r="P44" s="66"/>
      <c r="Q44" s="66"/>
      <c r="R44" s="65"/>
      <c r="S44" s="65"/>
      <c r="T44" s="65"/>
      <c r="U44" s="66"/>
      <c r="V44" s="66"/>
      <c r="W44" s="66"/>
      <c r="X44" s="65"/>
      <c r="Y44" s="65"/>
      <c r="Z44" s="65"/>
      <c r="AA44" s="66"/>
      <c r="AB44" s="66"/>
      <c r="AC44" s="66"/>
      <c r="AD44" s="65"/>
      <c r="AE44" s="65"/>
      <c r="AF44" s="65"/>
      <c r="AG44" s="66"/>
      <c r="AH44" s="66"/>
      <c r="AI44" s="66"/>
      <c r="AJ44" s="65"/>
      <c r="AK44" s="65"/>
      <c r="AL44" s="65"/>
      <c r="AM44" s="66"/>
      <c r="AN44" s="66"/>
      <c r="AO44" s="66"/>
    </row>
    <row r="45" spans="1:41" s="58" customFormat="1" ht="17.25" x14ac:dyDescent="0.3">
      <c r="A45" s="4" t="s">
        <v>13</v>
      </c>
      <c r="B45" s="25"/>
      <c r="C45" s="26"/>
      <c r="D45" s="26"/>
      <c r="E45" s="3"/>
      <c r="F45" s="65"/>
      <c r="G45" s="65"/>
      <c r="H45" s="65"/>
      <c r="I45" s="66"/>
      <c r="J45" s="66"/>
      <c r="K45" s="66"/>
      <c r="L45" s="65"/>
      <c r="M45" s="65"/>
      <c r="N45" s="65"/>
      <c r="O45" s="66"/>
      <c r="P45" s="66"/>
      <c r="Q45" s="66"/>
      <c r="R45" s="65"/>
      <c r="S45" s="65"/>
      <c r="T45" s="65"/>
      <c r="U45" s="66"/>
      <c r="V45" s="66"/>
      <c r="W45" s="66"/>
      <c r="X45" s="65"/>
      <c r="Y45" s="65"/>
      <c r="Z45" s="65"/>
      <c r="AA45" s="66"/>
      <c r="AB45" s="66"/>
      <c r="AC45" s="66"/>
      <c r="AD45" s="65"/>
      <c r="AE45" s="65"/>
      <c r="AF45" s="65"/>
      <c r="AG45" s="66"/>
      <c r="AH45" s="66"/>
      <c r="AI45" s="66"/>
      <c r="AJ45" s="65"/>
      <c r="AK45" s="65"/>
      <c r="AL45" s="65"/>
      <c r="AM45" s="66"/>
      <c r="AN45" s="66"/>
      <c r="AO45" s="66"/>
    </row>
    <row r="46" spans="1:41" s="58" customFormat="1" ht="17.25" x14ac:dyDescent="0.3">
      <c r="A46" s="15" t="s">
        <v>14</v>
      </c>
      <c r="B46" s="16"/>
      <c r="C46" s="14">
        <f>H46+K46+N46+Q46+T46+W46+Z46+AC46+AF46+AI46+AL46+AO46</f>
        <v>-130087</v>
      </c>
      <c r="D46" s="27">
        <f>D42</f>
        <v>280000</v>
      </c>
      <c r="E46" s="3"/>
      <c r="F46" s="27">
        <f>F42</f>
        <v>-121259</v>
      </c>
      <c r="G46" s="27">
        <f t="shared" ref="G46:AO46" si="25">G42</f>
        <v>47706</v>
      </c>
      <c r="H46" s="27">
        <f t="shared" si="25"/>
        <v>-73553</v>
      </c>
      <c r="I46" s="27">
        <f t="shared" si="25"/>
        <v>10839</v>
      </c>
      <c r="J46" s="27">
        <f t="shared" si="25"/>
        <v>-50024</v>
      </c>
      <c r="K46" s="27">
        <f t="shared" si="25"/>
        <v>-39185</v>
      </c>
      <c r="L46" s="27">
        <f t="shared" si="25"/>
        <v>0</v>
      </c>
      <c r="M46" s="27">
        <f t="shared" si="25"/>
        <v>0</v>
      </c>
      <c r="N46" s="27">
        <f>L46+M46</f>
        <v>0</v>
      </c>
      <c r="O46" s="27">
        <f t="shared" si="25"/>
        <v>-131732</v>
      </c>
      <c r="P46" s="27">
        <f t="shared" si="25"/>
        <v>-235571</v>
      </c>
      <c r="Q46" s="27">
        <f t="shared" si="25"/>
        <v>-367303</v>
      </c>
      <c r="R46" s="27">
        <f t="shared" si="25"/>
        <v>325956</v>
      </c>
      <c r="S46" s="121">
        <f>S42</f>
        <v>0</v>
      </c>
      <c r="T46" s="27">
        <f>R46+S46</f>
        <v>325956</v>
      </c>
      <c r="U46" s="27">
        <f>U42</f>
        <v>1207</v>
      </c>
      <c r="V46" s="27">
        <f t="shared" si="25"/>
        <v>-20280</v>
      </c>
      <c r="W46" s="27">
        <f t="shared" si="25"/>
        <v>-19073</v>
      </c>
      <c r="X46" s="27">
        <f t="shared" si="25"/>
        <v>11898</v>
      </c>
      <c r="Y46" s="27">
        <f t="shared" si="25"/>
        <v>0</v>
      </c>
      <c r="Z46" s="27">
        <f t="shared" si="25"/>
        <v>11898</v>
      </c>
      <c r="AA46" s="27">
        <f t="shared" si="25"/>
        <v>18223</v>
      </c>
      <c r="AB46" s="27">
        <f t="shared" si="25"/>
        <v>0</v>
      </c>
      <c r="AC46" s="27">
        <f t="shared" si="25"/>
        <v>18223</v>
      </c>
      <c r="AD46" s="27">
        <f t="shared" si="25"/>
        <v>12950</v>
      </c>
      <c r="AE46" s="27">
        <f t="shared" si="25"/>
        <v>0</v>
      </c>
      <c r="AF46" s="27">
        <f t="shared" si="25"/>
        <v>12950</v>
      </c>
      <c r="AG46" s="27">
        <f t="shared" si="25"/>
        <v>0</v>
      </c>
      <c r="AH46" s="27">
        <f t="shared" si="25"/>
        <v>0</v>
      </c>
      <c r="AI46" s="27">
        <f t="shared" si="25"/>
        <v>0</v>
      </c>
      <c r="AJ46" s="27">
        <f t="shared" si="25"/>
        <v>0</v>
      </c>
      <c r="AK46" s="27">
        <f t="shared" si="25"/>
        <v>0</v>
      </c>
      <c r="AL46" s="27">
        <f t="shared" si="25"/>
        <v>0</v>
      </c>
      <c r="AM46" s="27">
        <f t="shared" si="25"/>
        <v>0</v>
      </c>
      <c r="AN46" s="27">
        <f t="shared" si="25"/>
        <v>0</v>
      </c>
      <c r="AO46" s="27">
        <f t="shared" si="25"/>
        <v>0</v>
      </c>
    </row>
    <row r="47" spans="1:41" s="58" customFormat="1" ht="18.95" customHeight="1" thickBot="1" x14ac:dyDescent="0.35">
      <c r="A47" s="4" t="s">
        <v>15</v>
      </c>
      <c r="B47" s="16"/>
      <c r="C47" s="23">
        <f>SUM(C46:C46)</f>
        <v>-130087</v>
      </c>
      <c r="D47" s="23">
        <f>D42</f>
        <v>280000</v>
      </c>
      <c r="E47" s="3"/>
      <c r="F47" s="23">
        <f t="shared" ref="F47:AO47" si="26">SUM(F46:F46)</f>
        <v>-121259</v>
      </c>
      <c r="G47" s="23">
        <f t="shared" si="26"/>
        <v>47706</v>
      </c>
      <c r="H47" s="23">
        <f t="shared" si="26"/>
        <v>-73553</v>
      </c>
      <c r="I47" s="23">
        <f t="shared" si="26"/>
        <v>10839</v>
      </c>
      <c r="J47" s="23">
        <f t="shared" si="26"/>
        <v>-50024</v>
      </c>
      <c r="K47" s="23">
        <f t="shared" si="26"/>
        <v>-39185</v>
      </c>
      <c r="L47" s="23">
        <f t="shared" si="26"/>
        <v>0</v>
      </c>
      <c r="M47" s="23">
        <f t="shared" si="26"/>
        <v>0</v>
      </c>
      <c r="N47" s="23">
        <f t="shared" si="26"/>
        <v>0</v>
      </c>
      <c r="O47" s="23">
        <f t="shared" si="26"/>
        <v>-131732</v>
      </c>
      <c r="P47" s="23">
        <f t="shared" si="26"/>
        <v>-235571</v>
      </c>
      <c r="Q47" s="23">
        <f t="shared" si="26"/>
        <v>-367303</v>
      </c>
      <c r="R47" s="23">
        <f t="shared" si="26"/>
        <v>325956</v>
      </c>
      <c r="S47" s="23">
        <f t="shared" si="26"/>
        <v>0</v>
      </c>
      <c r="T47" s="23">
        <f t="shared" si="26"/>
        <v>325956</v>
      </c>
      <c r="U47" s="23">
        <f>SUM(U46:U46)</f>
        <v>1207</v>
      </c>
      <c r="V47" s="23">
        <f t="shared" si="26"/>
        <v>-20280</v>
      </c>
      <c r="W47" s="23">
        <f t="shared" si="26"/>
        <v>-19073</v>
      </c>
      <c r="X47" s="23">
        <f t="shared" si="26"/>
        <v>11898</v>
      </c>
      <c r="Y47" s="23">
        <f t="shared" si="26"/>
        <v>0</v>
      </c>
      <c r="Z47" s="23">
        <f t="shared" si="26"/>
        <v>11898</v>
      </c>
      <c r="AA47" s="23">
        <f t="shared" si="26"/>
        <v>18223</v>
      </c>
      <c r="AB47" s="23">
        <f t="shared" si="26"/>
        <v>0</v>
      </c>
      <c r="AC47" s="23">
        <f t="shared" si="26"/>
        <v>18223</v>
      </c>
      <c r="AD47" s="23">
        <f t="shared" si="26"/>
        <v>12950</v>
      </c>
      <c r="AE47" s="23">
        <f t="shared" si="26"/>
        <v>0</v>
      </c>
      <c r="AF47" s="23">
        <f t="shared" si="26"/>
        <v>12950</v>
      </c>
      <c r="AG47" s="23">
        <f t="shared" si="26"/>
        <v>0</v>
      </c>
      <c r="AH47" s="23">
        <f t="shared" si="26"/>
        <v>0</v>
      </c>
      <c r="AI47" s="23">
        <f t="shared" si="26"/>
        <v>0</v>
      </c>
      <c r="AJ47" s="23">
        <f t="shared" si="26"/>
        <v>0</v>
      </c>
      <c r="AK47" s="23">
        <f t="shared" si="26"/>
        <v>0</v>
      </c>
      <c r="AL47" s="23">
        <f t="shared" si="26"/>
        <v>0</v>
      </c>
      <c r="AM47" s="23">
        <f t="shared" si="26"/>
        <v>0</v>
      </c>
      <c r="AN47" s="23">
        <f t="shared" si="26"/>
        <v>0</v>
      </c>
      <c r="AO47" s="23">
        <f t="shared" si="26"/>
        <v>0</v>
      </c>
    </row>
    <row r="48" spans="1:41" s="58" customFormat="1" ht="18.95" customHeight="1" thickTop="1" x14ac:dyDescent="0.3">
      <c r="A48" s="4"/>
      <c r="B48" s="16"/>
      <c r="C48" s="28"/>
      <c r="D48" s="29"/>
      <c r="E48" s="3"/>
      <c r="F48" s="65"/>
      <c r="G48" s="65"/>
      <c r="H48" s="65"/>
      <c r="I48" s="66"/>
      <c r="J48" s="66"/>
      <c r="K48" s="66"/>
      <c r="L48" s="65"/>
      <c r="M48" s="65"/>
      <c r="N48" s="65"/>
      <c r="O48" s="66"/>
      <c r="P48" s="66"/>
      <c r="Q48" s="66"/>
      <c r="R48" s="65"/>
      <c r="S48" s="65"/>
      <c r="T48" s="65"/>
      <c r="U48" s="66"/>
      <c r="V48" s="66"/>
      <c r="W48" s="66"/>
      <c r="X48" s="65"/>
      <c r="Y48" s="65"/>
      <c r="Z48" s="65"/>
      <c r="AA48" s="66"/>
      <c r="AB48" s="66"/>
      <c r="AC48" s="66"/>
      <c r="AD48" s="65"/>
      <c r="AE48" s="65"/>
      <c r="AF48" s="65"/>
      <c r="AG48" s="66"/>
      <c r="AH48" s="66"/>
      <c r="AI48" s="66"/>
      <c r="AJ48" s="65"/>
      <c r="AK48" s="65"/>
      <c r="AL48" s="65"/>
      <c r="AM48" s="66"/>
      <c r="AN48" s="66"/>
      <c r="AO48" s="66"/>
    </row>
    <row r="49" spans="1:41" s="58" customFormat="1" ht="18.95" customHeight="1" x14ac:dyDescent="0.3">
      <c r="A49" s="4"/>
      <c r="B49" s="16"/>
      <c r="C49" s="28"/>
      <c r="D49" s="29"/>
      <c r="E49" s="3"/>
      <c r="F49" s="65"/>
      <c r="G49" s="65"/>
      <c r="H49" s="65"/>
      <c r="I49" s="66"/>
      <c r="J49" s="66"/>
      <c r="K49" s="66"/>
      <c r="L49" s="65"/>
      <c r="M49" s="65"/>
      <c r="N49" s="65"/>
      <c r="O49" s="66"/>
      <c r="P49" s="66"/>
      <c r="Q49" s="66"/>
      <c r="R49" s="65"/>
      <c r="S49" s="65"/>
      <c r="T49" s="65"/>
      <c r="U49" s="66"/>
      <c r="V49" s="66"/>
      <c r="W49" s="66"/>
      <c r="X49" s="65"/>
      <c r="Y49" s="65"/>
      <c r="Z49" s="65"/>
      <c r="AA49" s="66"/>
      <c r="AB49" s="66"/>
      <c r="AC49" s="66"/>
      <c r="AD49" s="65"/>
      <c r="AE49" s="65"/>
      <c r="AF49" s="65"/>
      <c r="AG49" s="66"/>
      <c r="AH49" s="66"/>
      <c r="AI49" s="66"/>
      <c r="AJ49" s="65"/>
      <c r="AK49" s="65"/>
      <c r="AL49" s="65"/>
      <c r="AM49" s="66"/>
      <c r="AN49" s="66"/>
      <c r="AO49" s="66"/>
    </row>
    <row r="50" spans="1:41" s="58" customFormat="1" ht="30" customHeight="1" x14ac:dyDescent="0.4">
      <c r="A50" s="1" t="str">
        <f>A1</f>
        <v>Otta Idrettslag - med undergrupper</v>
      </c>
      <c r="B50" s="16"/>
      <c r="C50" s="28"/>
      <c r="D50" s="29"/>
      <c r="E50" s="3"/>
      <c r="F50" s="65"/>
      <c r="G50" s="65"/>
      <c r="H50" s="65"/>
      <c r="I50" s="66"/>
      <c r="J50" s="66"/>
      <c r="K50" s="66"/>
      <c r="L50" s="65"/>
      <c r="M50" s="65"/>
      <c r="N50" s="65"/>
      <c r="O50" s="66"/>
      <c r="P50" s="66"/>
      <c r="Q50" s="66"/>
      <c r="R50" s="65"/>
      <c r="S50" s="65"/>
      <c r="T50" s="65"/>
      <c r="U50" s="66"/>
      <c r="V50" s="66"/>
      <c r="W50" s="66"/>
      <c r="X50" s="65"/>
      <c r="Y50" s="65"/>
      <c r="Z50" s="65"/>
      <c r="AA50" s="66"/>
      <c r="AB50" s="66"/>
      <c r="AC50" s="66"/>
      <c r="AD50" s="65"/>
      <c r="AE50" s="65"/>
      <c r="AF50" s="65"/>
      <c r="AG50" s="66"/>
      <c r="AH50" s="66"/>
      <c r="AI50" s="66"/>
      <c r="AJ50" s="65"/>
      <c r="AK50" s="65"/>
      <c r="AL50" s="65"/>
      <c r="AM50" s="66"/>
      <c r="AN50" s="66"/>
      <c r="AO50" s="66"/>
    </row>
    <row r="51" spans="1:41" s="58" customFormat="1" x14ac:dyDescent="0.2">
      <c r="A51" s="15"/>
      <c r="B51" s="154"/>
      <c r="C51" s="14"/>
      <c r="D51" s="14"/>
      <c r="E51" s="3"/>
      <c r="F51" s="65"/>
      <c r="G51" s="65"/>
      <c r="H51" s="65"/>
      <c r="I51" s="66"/>
      <c r="J51" s="66"/>
      <c r="K51" s="66"/>
      <c r="L51" s="65"/>
      <c r="M51" s="65"/>
      <c r="N51" s="65"/>
      <c r="O51" s="66"/>
      <c r="P51" s="66"/>
      <c r="Q51" s="66"/>
      <c r="R51" s="65"/>
      <c r="S51" s="65"/>
      <c r="T51" s="65"/>
      <c r="U51" s="66"/>
      <c r="V51" s="66"/>
      <c r="W51" s="66"/>
      <c r="X51" s="65"/>
      <c r="Y51" s="65"/>
      <c r="Z51" s="65"/>
      <c r="AA51" s="66"/>
      <c r="AB51" s="66"/>
      <c r="AC51" s="66"/>
      <c r="AD51" s="65"/>
      <c r="AE51" s="65"/>
      <c r="AF51" s="65"/>
      <c r="AG51" s="66"/>
      <c r="AH51" s="66"/>
      <c r="AI51" s="66"/>
      <c r="AJ51" s="65"/>
      <c r="AK51" s="65"/>
      <c r="AL51" s="65"/>
      <c r="AM51" s="66"/>
      <c r="AN51" s="66"/>
      <c r="AO51" s="66"/>
    </row>
    <row r="52" spans="1:41" s="58" customFormat="1" x14ac:dyDescent="0.2">
      <c r="A52" s="4" t="s">
        <v>16</v>
      </c>
      <c r="B52" s="154"/>
      <c r="C52" s="30"/>
      <c r="D52" s="30"/>
      <c r="E52" s="3"/>
      <c r="F52" s="65"/>
      <c r="G52" s="65"/>
      <c r="H52" s="65"/>
      <c r="I52" s="66"/>
      <c r="J52" s="66"/>
      <c r="K52" s="66"/>
      <c r="L52" s="65"/>
      <c r="M52" s="65"/>
      <c r="N52" s="65"/>
      <c r="O52" s="66"/>
      <c r="P52" s="66"/>
      <c r="Q52" s="66"/>
      <c r="R52" s="65"/>
      <c r="S52" s="65"/>
      <c r="T52" s="65"/>
      <c r="U52" s="66"/>
      <c r="V52" s="66"/>
      <c r="W52" s="66"/>
      <c r="X52" s="65"/>
      <c r="Y52" s="65"/>
      <c r="Z52" s="65"/>
      <c r="AA52" s="66"/>
      <c r="AB52" s="66"/>
      <c r="AC52" s="66"/>
      <c r="AD52" s="65"/>
      <c r="AE52" s="65"/>
      <c r="AF52" s="65"/>
      <c r="AG52" s="66"/>
      <c r="AH52" s="66"/>
      <c r="AI52" s="66"/>
      <c r="AJ52" s="65"/>
      <c r="AK52" s="65"/>
      <c r="AL52" s="65"/>
      <c r="AM52" s="66"/>
      <c r="AN52" s="66"/>
      <c r="AO52" s="66"/>
    </row>
    <row r="53" spans="1:41" s="58" customFormat="1" x14ac:dyDescent="0.2">
      <c r="A53" s="31"/>
      <c r="B53" s="32"/>
      <c r="C53" s="33">
        <f>C4</f>
        <v>2023</v>
      </c>
      <c r="D53" s="34"/>
      <c r="E53" s="3"/>
      <c r="F53" s="65"/>
      <c r="G53" s="65"/>
      <c r="H53" s="65"/>
      <c r="I53" s="66"/>
      <c r="J53" s="66"/>
      <c r="K53" s="66"/>
      <c r="L53" s="65"/>
      <c r="M53" s="65"/>
      <c r="N53" s="65"/>
      <c r="O53" s="66"/>
      <c r="P53" s="66"/>
      <c r="Q53" s="66"/>
      <c r="R53" s="65"/>
      <c r="S53" s="65"/>
      <c r="T53" s="65"/>
      <c r="U53" s="66"/>
      <c r="V53" s="66"/>
      <c r="W53" s="66"/>
      <c r="X53" s="65"/>
      <c r="Y53" s="65"/>
      <c r="Z53" s="65"/>
      <c r="AA53" s="66"/>
      <c r="AB53" s="66"/>
      <c r="AC53" s="66"/>
      <c r="AD53" s="65"/>
      <c r="AE53" s="65"/>
      <c r="AF53" s="65"/>
      <c r="AG53" s="66"/>
      <c r="AH53" s="66"/>
      <c r="AI53" s="66"/>
      <c r="AJ53" s="65"/>
      <c r="AK53" s="65"/>
      <c r="AL53" s="65"/>
      <c r="AM53" s="66"/>
      <c r="AN53" s="66"/>
      <c r="AO53" s="66"/>
    </row>
    <row r="54" spans="1:41" s="58" customFormat="1" ht="15.75" x14ac:dyDescent="0.25">
      <c r="A54" s="35" t="s">
        <v>17</v>
      </c>
      <c r="B54" s="36" t="s">
        <v>4</v>
      </c>
      <c r="C54" s="37"/>
      <c r="D54" s="38"/>
      <c r="E54" s="3"/>
      <c r="F54" s="65"/>
      <c r="G54" s="65"/>
      <c r="H54" s="65"/>
      <c r="I54" s="66"/>
      <c r="J54" s="66"/>
      <c r="K54" s="66"/>
      <c r="L54" s="65"/>
      <c r="M54" s="65"/>
      <c r="N54" s="65"/>
      <c r="O54" s="66"/>
      <c r="P54" s="66"/>
      <c r="Q54" s="66"/>
      <c r="R54" s="65"/>
      <c r="S54" s="65"/>
      <c r="T54" s="65"/>
      <c r="U54" s="66"/>
      <c r="V54" s="66"/>
      <c r="W54" s="66"/>
      <c r="X54" s="65"/>
      <c r="Y54" s="65"/>
      <c r="Z54" s="65"/>
      <c r="AA54" s="66"/>
      <c r="AB54" s="66"/>
      <c r="AC54" s="66"/>
      <c r="AD54" s="65"/>
      <c r="AE54" s="65"/>
      <c r="AF54" s="65"/>
      <c r="AG54" s="66"/>
      <c r="AH54" s="66"/>
      <c r="AI54" s="66"/>
      <c r="AJ54" s="65"/>
      <c r="AK54" s="65"/>
      <c r="AL54" s="65"/>
      <c r="AM54" s="66"/>
      <c r="AN54" s="66"/>
      <c r="AO54" s="66"/>
    </row>
    <row r="55" spans="1:41" s="58" customFormat="1" ht="19.5" customHeight="1" x14ac:dyDescent="0.25">
      <c r="A55" s="39"/>
      <c r="B55" s="40"/>
      <c r="C55" s="41"/>
      <c r="D55" s="38"/>
      <c r="E55" s="3"/>
      <c r="F55" s="65"/>
      <c r="G55" s="65"/>
      <c r="H55" s="65"/>
      <c r="I55" s="66"/>
      <c r="J55" s="66"/>
      <c r="K55" s="66"/>
      <c r="L55" s="65"/>
      <c r="M55" s="65"/>
      <c r="N55" s="65"/>
      <c r="O55" s="66"/>
      <c r="P55" s="66"/>
      <c r="Q55" s="66"/>
      <c r="R55" s="65"/>
      <c r="S55" s="65"/>
      <c r="T55" s="65"/>
      <c r="U55" s="66"/>
      <c r="V55" s="66"/>
      <c r="W55" s="66"/>
      <c r="X55" s="65"/>
      <c r="Y55" s="65"/>
      <c r="Z55" s="65"/>
      <c r="AA55" s="66"/>
      <c r="AB55" s="66"/>
      <c r="AC55" s="66"/>
      <c r="AD55" s="65"/>
      <c r="AE55" s="65"/>
      <c r="AF55" s="65"/>
      <c r="AG55" s="66"/>
      <c r="AH55" s="66"/>
      <c r="AI55" s="66"/>
      <c r="AJ55" s="65"/>
      <c r="AK55" s="65"/>
      <c r="AL55" s="65"/>
      <c r="AM55" s="66"/>
      <c r="AN55" s="66"/>
      <c r="AO55" s="66"/>
    </row>
    <row r="56" spans="1:41" s="58" customFormat="1" ht="15.75" x14ac:dyDescent="0.25">
      <c r="A56" s="4" t="s">
        <v>18</v>
      </c>
      <c r="B56" s="16"/>
      <c r="C56" s="41"/>
      <c r="D56" s="42"/>
      <c r="E56" s="3"/>
      <c r="F56" s="65"/>
      <c r="G56" s="65"/>
      <c r="H56" s="65"/>
      <c r="I56" s="66"/>
      <c r="J56" s="66"/>
      <c r="K56" s="66"/>
      <c r="L56" s="65"/>
      <c r="M56" s="65"/>
      <c r="N56" s="65"/>
      <c r="O56" s="66"/>
      <c r="P56" s="66"/>
      <c r="Q56" s="66"/>
      <c r="R56" s="65"/>
      <c r="S56" s="65"/>
      <c r="T56" s="65"/>
      <c r="U56" s="66"/>
      <c r="V56" s="66"/>
      <c r="W56" s="66"/>
      <c r="X56" s="65"/>
      <c r="Y56" s="65"/>
      <c r="Z56" s="65"/>
      <c r="AA56" s="66"/>
      <c r="AB56" s="66"/>
      <c r="AC56" s="66"/>
      <c r="AD56" s="65"/>
      <c r="AE56" s="65"/>
      <c r="AF56" s="65"/>
      <c r="AG56" s="66"/>
      <c r="AH56" s="66"/>
      <c r="AI56" s="66"/>
      <c r="AJ56" s="65"/>
      <c r="AK56" s="65"/>
      <c r="AL56" s="65"/>
      <c r="AM56" s="66"/>
      <c r="AN56" s="66"/>
      <c r="AO56" s="66"/>
    </row>
    <row r="57" spans="1:41" s="58" customFormat="1" ht="14.1" customHeight="1" x14ac:dyDescent="0.3">
      <c r="A57" s="15"/>
      <c r="B57" s="16"/>
      <c r="C57" s="41"/>
      <c r="D57" s="28"/>
      <c r="E57" s="3"/>
      <c r="F57" s="65"/>
      <c r="G57" s="65"/>
      <c r="H57" s="65"/>
      <c r="I57" s="66"/>
      <c r="J57" s="66"/>
      <c r="K57" s="66"/>
      <c r="L57" s="65"/>
      <c r="M57" s="65"/>
      <c r="N57" s="65"/>
      <c r="O57" s="66"/>
      <c r="P57" s="66"/>
      <c r="Q57" s="66"/>
      <c r="R57" s="65"/>
      <c r="S57" s="65"/>
      <c r="T57" s="65"/>
      <c r="U57" s="66"/>
      <c r="V57" s="66"/>
      <c r="W57" s="66"/>
      <c r="X57" s="65"/>
      <c r="Y57" s="65"/>
      <c r="Z57" s="65"/>
      <c r="AA57" s="66"/>
      <c r="AB57" s="66"/>
      <c r="AC57" s="66"/>
      <c r="AD57" s="65"/>
      <c r="AE57" s="65"/>
      <c r="AF57" s="65"/>
      <c r="AG57" s="66"/>
      <c r="AH57" s="66"/>
      <c r="AI57" s="66"/>
      <c r="AJ57" s="65"/>
      <c r="AK57" s="65"/>
      <c r="AL57" s="65"/>
      <c r="AM57" s="66"/>
      <c r="AN57" s="66"/>
      <c r="AO57" s="66"/>
    </row>
    <row r="58" spans="1:41" s="58" customFormat="1" ht="15.75" x14ac:dyDescent="0.25">
      <c r="A58" s="70" t="s">
        <v>70</v>
      </c>
      <c r="B58" s="16"/>
      <c r="C58" s="41"/>
      <c r="D58" s="42"/>
      <c r="E58" s="3"/>
      <c r="F58" s="65"/>
      <c r="G58" s="65"/>
      <c r="H58" s="65"/>
      <c r="I58" s="66"/>
      <c r="J58" s="66"/>
      <c r="K58" s="66"/>
      <c r="L58" s="65"/>
      <c r="M58" s="65"/>
      <c r="N58" s="65"/>
      <c r="O58" s="66"/>
      <c r="P58" s="66"/>
      <c r="Q58" s="66"/>
      <c r="R58" s="65"/>
      <c r="S58" s="65"/>
      <c r="T58" s="65"/>
      <c r="U58" s="66"/>
      <c r="V58" s="66"/>
      <c r="W58" s="66"/>
      <c r="X58" s="65"/>
      <c r="Y58" s="65"/>
      <c r="Z58" s="65"/>
      <c r="AA58" s="66"/>
      <c r="AB58" s="66"/>
      <c r="AC58" s="66"/>
      <c r="AD58" s="65"/>
      <c r="AE58" s="65"/>
      <c r="AF58" s="65"/>
      <c r="AG58" s="66"/>
      <c r="AH58" s="66"/>
      <c r="AI58" s="66"/>
      <c r="AJ58" s="65"/>
      <c r="AK58" s="65"/>
      <c r="AL58" s="65"/>
      <c r="AM58" s="66"/>
      <c r="AN58" s="66"/>
      <c r="AO58" s="66"/>
    </row>
    <row r="59" spans="1:41" s="58" customFormat="1" ht="15.75" x14ac:dyDescent="0.25">
      <c r="A59" s="68" t="s">
        <v>66</v>
      </c>
      <c r="B59" s="16"/>
      <c r="C59" s="14">
        <f>H59+K59+N59+Q59+T59+W59+Z59+AC59+AF59+AI59+AL59+AO59</f>
        <v>1357100</v>
      </c>
      <c r="D59" s="42"/>
      <c r="E59" s="3"/>
      <c r="F59" s="134">
        <v>1283700</v>
      </c>
      <c r="G59" s="65"/>
      <c r="H59" s="65">
        <f t="shared" ref="H59:H95" si="27">F59+G59</f>
        <v>1283700</v>
      </c>
      <c r="I59" s="132">
        <v>0</v>
      </c>
      <c r="J59" s="66"/>
      <c r="K59" s="66">
        <f t="shared" ref="K59:K95" si="28">I59+J59</f>
        <v>0</v>
      </c>
      <c r="L59" s="132">
        <v>0</v>
      </c>
      <c r="M59" s="65"/>
      <c r="N59" s="65">
        <f t="shared" ref="N59:N95" si="29">L59+M59</f>
        <v>0</v>
      </c>
      <c r="O59" s="132">
        <v>0</v>
      </c>
      <c r="P59" s="66"/>
      <c r="Q59" s="66">
        <f t="shared" ref="Q59:Q95" si="30">O59+P59</f>
        <v>0</v>
      </c>
      <c r="R59" s="132">
        <v>73400</v>
      </c>
      <c r="S59" s="65"/>
      <c r="T59" s="65">
        <f t="shared" ref="T59:T95" si="31">R59+S59</f>
        <v>73400</v>
      </c>
      <c r="U59" s="66"/>
      <c r="V59" s="66"/>
      <c r="W59" s="66">
        <f t="shared" ref="W59:W95" si="32">U59+V59</f>
        <v>0</v>
      </c>
      <c r="X59" s="65"/>
      <c r="Y59" s="65"/>
      <c r="Z59" s="65">
        <f t="shared" ref="Z59:Z95" si="33">X59+Y59</f>
        <v>0</v>
      </c>
      <c r="AA59" s="66"/>
      <c r="AB59" s="66"/>
      <c r="AC59" s="66">
        <f t="shared" ref="AC59:AC95" si="34">AA59+AB59</f>
        <v>0</v>
      </c>
      <c r="AD59" s="65"/>
      <c r="AE59" s="65"/>
      <c r="AF59" s="65">
        <f t="shared" ref="AF59:AF95" si="35">AD59+AE59</f>
        <v>0</v>
      </c>
      <c r="AG59" s="66"/>
      <c r="AH59" s="66"/>
      <c r="AI59" s="66">
        <f t="shared" ref="AI59:AI95" si="36">AG59+AH59</f>
        <v>0</v>
      </c>
      <c r="AJ59" s="65"/>
      <c r="AK59" s="65"/>
      <c r="AL59" s="65">
        <f t="shared" ref="AL59:AL95" si="37">AJ59+AK59</f>
        <v>0</v>
      </c>
      <c r="AM59" s="66"/>
      <c r="AN59" s="66"/>
      <c r="AO59" s="66">
        <f t="shared" ref="AO59:AO60" si="38">AM59+AN59</f>
        <v>0</v>
      </c>
    </row>
    <row r="60" spans="1:41" s="58" customFormat="1" ht="17.25" x14ac:dyDescent="0.3">
      <c r="A60" s="68" t="s">
        <v>67</v>
      </c>
      <c r="B60" s="16"/>
      <c r="C60" s="14">
        <f>H60+K60+N60+Q60+T60+W60+Z60+AC60+AF60+AI60+AL60+AO60</f>
        <v>294800</v>
      </c>
      <c r="D60" s="24"/>
      <c r="E60" s="3"/>
      <c r="F60" s="134">
        <v>98600</v>
      </c>
      <c r="G60" s="65"/>
      <c r="H60" s="65">
        <f t="shared" si="27"/>
        <v>98600</v>
      </c>
      <c r="I60" s="132">
        <v>23400</v>
      </c>
      <c r="J60" s="66"/>
      <c r="K60" s="66">
        <f t="shared" si="28"/>
        <v>23400</v>
      </c>
      <c r="L60" s="132">
        <v>0</v>
      </c>
      <c r="M60" s="65"/>
      <c r="N60" s="65">
        <f t="shared" si="29"/>
        <v>0</v>
      </c>
      <c r="O60" s="132">
        <v>26000</v>
      </c>
      <c r="P60" s="66"/>
      <c r="Q60" s="66">
        <f t="shared" si="30"/>
        <v>26000</v>
      </c>
      <c r="R60" s="132">
        <v>146800</v>
      </c>
      <c r="S60" s="65"/>
      <c r="T60" s="65">
        <f t="shared" si="31"/>
        <v>146800</v>
      </c>
      <c r="U60" s="66"/>
      <c r="V60" s="66"/>
      <c r="W60" s="66">
        <f t="shared" si="32"/>
        <v>0</v>
      </c>
      <c r="X60" s="65"/>
      <c r="Y60" s="65"/>
      <c r="Z60" s="65">
        <f t="shared" si="33"/>
        <v>0</v>
      </c>
      <c r="AA60" s="66"/>
      <c r="AB60" s="66"/>
      <c r="AC60" s="66">
        <f t="shared" si="34"/>
        <v>0</v>
      </c>
      <c r="AD60" s="65"/>
      <c r="AE60" s="65"/>
      <c r="AF60" s="65">
        <f t="shared" si="35"/>
        <v>0</v>
      </c>
      <c r="AG60" s="66"/>
      <c r="AH60" s="66"/>
      <c r="AI60" s="66">
        <f t="shared" si="36"/>
        <v>0</v>
      </c>
      <c r="AJ60" s="65"/>
      <c r="AK60" s="65"/>
      <c r="AL60" s="65">
        <f t="shared" si="37"/>
        <v>0</v>
      </c>
      <c r="AM60" s="66"/>
      <c r="AN60" s="66"/>
      <c r="AO60" s="66">
        <f t="shared" si="38"/>
        <v>0</v>
      </c>
    </row>
    <row r="61" spans="1:41" s="58" customFormat="1" ht="17.25" x14ac:dyDescent="0.3">
      <c r="A61" s="4" t="s">
        <v>19</v>
      </c>
      <c r="B61" s="16"/>
      <c r="C61" s="17">
        <f>SUM(C59:C60)</f>
        <v>1651900</v>
      </c>
      <c r="D61" s="28"/>
      <c r="E61" s="3"/>
      <c r="F61" s="17">
        <f>SUM(F59:F60)</f>
        <v>1382300</v>
      </c>
      <c r="G61" s="17">
        <f t="shared" ref="G61:AO61" si="39">SUM(G59:G60)</f>
        <v>0</v>
      </c>
      <c r="H61" s="17">
        <f t="shared" si="39"/>
        <v>1382300</v>
      </c>
      <c r="I61" s="17">
        <f t="shared" si="39"/>
        <v>23400</v>
      </c>
      <c r="J61" s="17">
        <f t="shared" si="39"/>
        <v>0</v>
      </c>
      <c r="K61" s="17">
        <f t="shared" si="39"/>
        <v>23400</v>
      </c>
      <c r="L61" s="17">
        <f t="shared" si="39"/>
        <v>0</v>
      </c>
      <c r="M61" s="17">
        <f t="shared" si="39"/>
        <v>0</v>
      </c>
      <c r="N61" s="17">
        <f t="shared" si="39"/>
        <v>0</v>
      </c>
      <c r="O61" s="17">
        <f t="shared" si="39"/>
        <v>26000</v>
      </c>
      <c r="P61" s="17">
        <f t="shared" si="39"/>
        <v>0</v>
      </c>
      <c r="Q61" s="17">
        <f t="shared" si="39"/>
        <v>26000</v>
      </c>
      <c r="R61" s="17">
        <f t="shared" si="39"/>
        <v>220200</v>
      </c>
      <c r="S61" s="17">
        <f t="shared" si="39"/>
        <v>0</v>
      </c>
      <c r="T61" s="17">
        <f t="shared" si="39"/>
        <v>220200</v>
      </c>
      <c r="U61" s="17">
        <f t="shared" si="39"/>
        <v>0</v>
      </c>
      <c r="V61" s="17">
        <f t="shared" si="39"/>
        <v>0</v>
      </c>
      <c r="W61" s="17">
        <f t="shared" si="39"/>
        <v>0</v>
      </c>
      <c r="X61" s="17">
        <f t="shared" si="39"/>
        <v>0</v>
      </c>
      <c r="Y61" s="17">
        <f t="shared" si="39"/>
        <v>0</v>
      </c>
      <c r="Z61" s="17">
        <f t="shared" si="39"/>
        <v>0</v>
      </c>
      <c r="AA61" s="17">
        <f t="shared" si="39"/>
        <v>0</v>
      </c>
      <c r="AB61" s="17">
        <f t="shared" si="39"/>
        <v>0</v>
      </c>
      <c r="AC61" s="17">
        <f t="shared" si="39"/>
        <v>0</v>
      </c>
      <c r="AD61" s="17">
        <f t="shared" si="39"/>
        <v>0</v>
      </c>
      <c r="AE61" s="17">
        <f t="shared" si="39"/>
        <v>0</v>
      </c>
      <c r="AF61" s="17">
        <f t="shared" si="39"/>
        <v>0</v>
      </c>
      <c r="AG61" s="17">
        <f t="shared" si="39"/>
        <v>0</v>
      </c>
      <c r="AH61" s="17">
        <f t="shared" si="39"/>
        <v>0</v>
      </c>
      <c r="AI61" s="17">
        <f t="shared" si="39"/>
        <v>0</v>
      </c>
      <c r="AJ61" s="17">
        <f t="shared" si="39"/>
        <v>0</v>
      </c>
      <c r="AK61" s="17">
        <f t="shared" si="39"/>
        <v>0</v>
      </c>
      <c r="AL61" s="17">
        <f t="shared" si="39"/>
        <v>0</v>
      </c>
      <c r="AM61" s="17">
        <f t="shared" si="39"/>
        <v>0</v>
      </c>
      <c r="AN61" s="17">
        <f t="shared" si="39"/>
        <v>0</v>
      </c>
      <c r="AO61" s="17">
        <f t="shared" si="39"/>
        <v>0</v>
      </c>
    </row>
    <row r="62" spans="1:41" s="58" customFormat="1" ht="17.25" x14ac:dyDescent="0.3">
      <c r="A62" s="4"/>
      <c r="B62" s="16"/>
      <c r="C62" s="19"/>
      <c r="D62" s="28"/>
      <c r="E62" s="3"/>
      <c r="F62" s="65"/>
      <c r="G62" s="65"/>
      <c r="H62" s="65"/>
      <c r="I62" s="66"/>
      <c r="J62" s="66"/>
      <c r="K62" s="66"/>
      <c r="L62" s="65"/>
      <c r="M62" s="65"/>
      <c r="N62" s="65"/>
      <c r="O62" s="66"/>
      <c r="P62" s="66"/>
      <c r="Q62" s="66"/>
      <c r="R62" s="65"/>
      <c r="S62" s="65"/>
      <c r="T62" s="65"/>
      <c r="U62" s="66"/>
      <c r="V62" s="66"/>
      <c r="W62" s="66"/>
      <c r="X62" s="65"/>
      <c r="Y62" s="65"/>
      <c r="Z62" s="65"/>
      <c r="AA62" s="66"/>
      <c r="AB62" s="66"/>
      <c r="AC62" s="66"/>
      <c r="AD62" s="65"/>
      <c r="AE62" s="65"/>
      <c r="AF62" s="65"/>
      <c r="AG62" s="66"/>
      <c r="AH62" s="66"/>
      <c r="AI62" s="66"/>
      <c r="AJ62" s="65"/>
      <c r="AK62" s="65"/>
      <c r="AL62" s="65"/>
      <c r="AM62" s="66"/>
      <c r="AN62" s="66"/>
      <c r="AO62" s="66"/>
    </row>
    <row r="63" spans="1:41" s="58" customFormat="1" ht="17.25" x14ac:dyDescent="0.3">
      <c r="A63" s="70" t="s">
        <v>71</v>
      </c>
      <c r="B63" s="16"/>
      <c r="C63" s="19"/>
      <c r="D63" s="28"/>
      <c r="E63" s="3"/>
      <c r="F63" s="65"/>
      <c r="G63" s="65"/>
      <c r="H63" s="65"/>
      <c r="I63" s="66"/>
      <c r="J63" s="66"/>
      <c r="K63" s="66"/>
      <c r="L63" s="65"/>
      <c r="M63" s="65"/>
      <c r="N63" s="65"/>
      <c r="O63" s="66"/>
      <c r="P63" s="66"/>
      <c r="Q63" s="66"/>
      <c r="R63" s="65"/>
      <c r="S63" s="65"/>
      <c r="T63" s="65"/>
      <c r="U63" s="66"/>
      <c r="V63" s="66"/>
      <c r="W63" s="66"/>
      <c r="X63" s="65"/>
      <c r="Y63" s="65"/>
      <c r="Z63" s="65"/>
      <c r="AA63" s="66"/>
      <c r="AB63" s="66"/>
      <c r="AC63" s="66"/>
      <c r="AD63" s="65"/>
      <c r="AE63" s="65"/>
      <c r="AF63" s="65"/>
      <c r="AG63" s="66"/>
      <c r="AH63" s="66"/>
      <c r="AI63" s="66"/>
      <c r="AJ63" s="65"/>
      <c r="AK63" s="65"/>
      <c r="AL63" s="65"/>
      <c r="AM63" s="66"/>
      <c r="AN63" s="66"/>
      <c r="AO63" s="66"/>
    </row>
    <row r="64" spans="1:41" s="58" customFormat="1" ht="17.25" x14ac:dyDescent="0.3">
      <c r="A64" s="68" t="s">
        <v>72</v>
      </c>
      <c r="B64" s="16"/>
      <c r="C64" s="14">
        <f>H64+K64+N64+Q64+T64+W64+Z64+AC64+AF64+AI64+AL64+AO64</f>
        <v>0</v>
      </c>
      <c r="D64" s="28"/>
      <c r="E64" s="3"/>
      <c r="F64" s="65">
        <v>0</v>
      </c>
      <c r="G64" s="65"/>
      <c r="H64" s="65">
        <f t="shared" si="27"/>
        <v>0</v>
      </c>
      <c r="I64" s="66">
        <v>0</v>
      </c>
      <c r="J64" s="66"/>
      <c r="K64" s="66"/>
      <c r="L64" s="65">
        <v>0</v>
      </c>
      <c r="M64" s="65"/>
      <c r="N64" s="65"/>
      <c r="O64" s="66">
        <v>0</v>
      </c>
      <c r="P64" s="66"/>
      <c r="Q64" s="66"/>
      <c r="R64" s="65">
        <v>0</v>
      </c>
      <c r="S64" s="65"/>
      <c r="T64" s="65"/>
      <c r="U64" s="66"/>
      <c r="V64" s="66"/>
      <c r="W64" s="66"/>
      <c r="X64" s="65"/>
      <c r="Y64" s="65"/>
      <c r="Z64" s="65"/>
      <c r="AA64" s="66"/>
      <c r="AB64" s="66"/>
      <c r="AC64" s="66"/>
      <c r="AD64" s="65"/>
      <c r="AE64" s="65"/>
      <c r="AF64" s="65"/>
      <c r="AG64" s="66"/>
      <c r="AH64" s="66"/>
      <c r="AI64" s="66"/>
      <c r="AJ64" s="65"/>
      <c r="AK64" s="65"/>
      <c r="AL64" s="65"/>
      <c r="AM64" s="66"/>
      <c r="AN64" s="66"/>
      <c r="AO64" s="66"/>
    </row>
    <row r="65" spans="1:41" s="58" customFormat="1" ht="17.25" x14ac:dyDescent="0.3">
      <c r="A65" s="71" t="s">
        <v>73</v>
      </c>
      <c r="B65" s="16"/>
      <c r="C65" s="17">
        <f>SUM(C63:C64)</f>
        <v>0</v>
      </c>
      <c r="D65" s="28"/>
      <c r="E65" s="3"/>
      <c r="F65" s="17">
        <f>SUM(F63:F64)</f>
        <v>0</v>
      </c>
      <c r="G65" s="17">
        <f t="shared" ref="G65:AO65" si="40">SUM(G63:G64)</f>
        <v>0</v>
      </c>
      <c r="H65" s="17">
        <f t="shared" si="40"/>
        <v>0</v>
      </c>
      <c r="I65" s="17">
        <f t="shared" si="40"/>
        <v>0</v>
      </c>
      <c r="J65" s="17">
        <f t="shared" si="40"/>
        <v>0</v>
      </c>
      <c r="K65" s="17">
        <f t="shared" si="40"/>
        <v>0</v>
      </c>
      <c r="L65" s="17">
        <f t="shared" si="40"/>
        <v>0</v>
      </c>
      <c r="M65" s="17">
        <f t="shared" si="40"/>
        <v>0</v>
      </c>
      <c r="N65" s="17">
        <f t="shared" si="40"/>
        <v>0</v>
      </c>
      <c r="O65" s="17">
        <f t="shared" si="40"/>
        <v>0</v>
      </c>
      <c r="P65" s="17">
        <f t="shared" si="40"/>
        <v>0</v>
      </c>
      <c r="Q65" s="17">
        <f t="shared" si="40"/>
        <v>0</v>
      </c>
      <c r="R65" s="17">
        <f t="shared" si="40"/>
        <v>0</v>
      </c>
      <c r="S65" s="17">
        <f t="shared" si="40"/>
        <v>0</v>
      </c>
      <c r="T65" s="17">
        <f t="shared" si="40"/>
        <v>0</v>
      </c>
      <c r="U65" s="17">
        <f t="shared" si="40"/>
        <v>0</v>
      </c>
      <c r="V65" s="17">
        <f t="shared" si="40"/>
        <v>0</v>
      </c>
      <c r="W65" s="17">
        <f t="shared" si="40"/>
        <v>0</v>
      </c>
      <c r="X65" s="17">
        <f t="shared" si="40"/>
        <v>0</v>
      </c>
      <c r="Y65" s="17">
        <f t="shared" si="40"/>
        <v>0</v>
      </c>
      <c r="Z65" s="17">
        <f t="shared" si="40"/>
        <v>0</v>
      </c>
      <c r="AA65" s="17">
        <f t="shared" si="40"/>
        <v>0</v>
      </c>
      <c r="AB65" s="17">
        <f t="shared" si="40"/>
        <v>0</v>
      </c>
      <c r="AC65" s="17">
        <f t="shared" si="40"/>
        <v>0</v>
      </c>
      <c r="AD65" s="17">
        <f t="shared" si="40"/>
        <v>0</v>
      </c>
      <c r="AE65" s="17">
        <f t="shared" si="40"/>
        <v>0</v>
      </c>
      <c r="AF65" s="17">
        <f t="shared" si="40"/>
        <v>0</v>
      </c>
      <c r="AG65" s="17">
        <f t="shared" si="40"/>
        <v>0</v>
      </c>
      <c r="AH65" s="17">
        <f t="shared" si="40"/>
        <v>0</v>
      </c>
      <c r="AI65" s="17">
        <f t="shared" si="40"/>
        <v>0</v>
      </c>
      <c r="AJ65" s="17">
        <f t="shared" si="40"/>
        <v>0</v>
      </c>
      <c r="AK65" s="17">
        <f t="shared" si="40"/>
        <v>0</v>
      </c>
      <c r="AL65" s="17">
        <f t="shared" si="40"/>
        <v>0</v>
      </c>
      <c r="AM65" s="17">
        <f t="shared" si="40"/>
        <v>0</v>
      </c>
      <c r="AN65" s="17">
        <f t="shared" si="40"/>
        <v>0</v>
      </c>
      <c r="AO65" s="17">
        <f t="shared" si="40"/>
        <v>0</v>
      </c>
    </row>
    <row r="66" spans="1:41" s="58" customFormat="1" ht="18.95" customHeight="1" x14ac:dyDescent="0.3">
      <c r="A66" s="70" t="s">
        <v>68</v>
      </c>
      <c r="B66" s="16"/>
      <c r="C66" s="17">
        <f>C61+C65</f>
        <v>1651900</v>
      </c>
      <c r="D66" s="28"/>
      <c r="E66" s="3"/>
      <c r="F66" s="17">
        <f>F61+F65</f>
        <v>1382300</v>
      </c>
      <c r="G66" s="17">
        <f t="shared" ref="G66:AO66" si="41">G61+G65</f>
        <v>0</v>
      </c>
      <c r="H66" s="17">
        <f t="shared" si="41"/>
        <v>1382300</v>
      </c>
      <c r="I66" s="17">
        <f t="shared" si="41"/>
        <v>23400</v>
      </c>
      <c r="J66" s="17">
        <f t="shared" si="41"/>
        <v>0</v>
      </c>
      <c r="K66" s="17">
        <f t="shared" si="41"/>
        <v>23400</v>
      </c>
      <c r="L66" s="17">
        <f t="shared" si="41"/>
        <v>0</v>
      </c>
      <c r="M66" s="17">
        <f t="shared" si="41"/>
        <v>0</v>
      </c>
      <c r="N66" s="17">
        <f t="shared" si="41"/>
        <v>0</v>
      </c>
      <c r="O66" s="17">
        <f t="shared" si="41"/>
        <v>26000</v>
      </c>
      <c r="P66" s="17">
        <f t="shared" si="41"/>
        <v>0</v>
      </c>
      <c r="Q66" s="17">
        <f t="shared" si="41"/>
        <v>26000</v>
      </c>
      <c r="R66" s="17">
        <f t="shared" si="41"/>
        <v>220200</v>
      </c>
      <c r="S66" s="17">
        <f t="shared" si="41"/>
        <v>0</v>
      </c>
      <c r="T66" s="17">
        <f t="shared" si="41"/>
        <v>220200</v>
      </c>
      <c r="U66" s="17">
        <f t="shared" si="41"/>
        <v>0</v>
      </c>
      <c r="V66" s="17">
        <f t="shared" si="41"/>
        <v>0</v>
      </c>
      <c r="W66" s="17">
        <f t="shared" si="41"/>
        <v>0</v>
      </c>
      <c r="X66" s="17">
        <f t="shared" si="41"/>
        <v>0</v>
      </c>
      <c r="Y66" s="17">
        <f t="shared" si="41"/>
        <v>0</v>
      </c>
      <c r="Z66" s="17">
        <f t="shared" si="41"/>
        <v>0</v>
      </c>
      <c r="AA66" s="17">
        <f t="shared" si="41"/>
        <v>0</v>
      </c>
      <c r="AB66" s="17">
        <f t="shared" si="41"/>
        <v>0</v>
      </c>
      <c r="AC66" s="17">
        <f t="shared" si="41"/>
        <v>0</v>
      </c>
      <c r="AD66" s="17">
        <f t="shared" si="41"/>
        <v>0</v>
      </c>
      <c r="AE66" s="17">
        <f t="shared" si="41"/>
        <v>0</v>
      </c>
      <c r="AF66" s="17">
        <f t="shared" si="41"/>
        <v>0</v>
      </c>
      <c r="AG66" s="17">
        <f t="shared" si="41"/>
        <v>0</v>
      </c>
      <c r="AH66" s="17">
        <f t="shared" si="41"/>
        <v>0</v>
      </c>
      <c r="AI66" s="17">
        <f t="shared" si="41"/>
        <v>0</v>
      </c>
      <c r="AJ66" s="17">
        <f t="shared" si="41"/>
        <v>0</v>
      </c>
      <c r="AK66" s="17">
        <f t="shared" si="41"/>
        <v>0</v>
      </c>
      <c r="AL66" s="17">
        <f t="shared" si="41"/>
        <v>0</v>
      </c>
      <c r="AM66" s="17">
        <f t="shared" si="41"/>
        <v>0</v>
      </c>
      <c r="AN66" s="17">
        <f t="shared" si="41"/>
        <v>0</v>
      </c>
      <c r="AO66" s="17">
        <f t="shared" si="41"/>
        <v>0</v>
      </c>
    </row>
    <row r="67" spans="1:41" s="58" customFormat="1" ht="18.95" customHeight="1" x14ac:dyDescent="0.3">
      <c r="A67" s="15"/>
      <c r="B67" s="16"/>
      <c r="C67" s="28"/>
      <c r="D67" s="28"/>
      <c r="E67" s="3"/>
      <c r="F67" s="65"/>
      <c r="G67" s="65"/>
      <c r="H67" s="65"/>
      <c r="I67" s="66"/>
      <c r="J67" s="66"/>
      <c r="K67" s="66"/>
      <c r="L67" s="65"/>
      <c r="M67" s="65"/>
      <c r="N67" s="65"/>
      <c r="O67" s="66"/>
      <c r="P67" s="66"/>
      <c r="Q67" s="66"/>
      <c r="R67" s="65"/>
      <c r="S67" s="65"/>
      <c r="T67" s="65"/>
      <c r="U67" s="66"/>
      <c r="V67" s="66"/>
      <c r="W67" s="66"/>
      <c r="X67" s="65"/>
      <c r="Y67" s="65"/>
      <c r="Z67" s="65"/>
      <c r="AA67" s="66"/>
      <c r="AB67" s="66"/>
      <c r="AC67" s="66"/>
      <c r="AD67" s="65"/>
      <c r="AE67" s="65"/>
      <c r="AF67" s="65"/>
      <c r="AG67" s="66"/>
      <c r="AH67" s="66"/>
      <c r="AI67" s="66"/>
      <c r="AJ67" s="65"/>
      <c r="AK67" s="65"/>
      <c r="AL67" s="65"/>
      <c r="AM67" s="66"/>
      <c r="AN67" s="66"/>
      <c r="AO67" s="66"/>
    </row>
    <row r="68" spans="1:41" s="58" customFormat="1" ht="17.25" x14ac:dyDescent="0.3">
      <c r="A68" s="70" t="s">
        <v>74</v>
      </c>
      <c r="B68" s="16"/>
      <c r="C68" s="43"/>
      <c r="D68" s="44"/>
      <c r="E68" s="3"/>
      <c r="F68" s="65"/>
      <c r="G68" s="65"/>
      <c r="H68" s="65"/>
      <c r="I68" s="66"/>
      <c r="J68" s="66"/>
      <c r="K68" s="66"/>
      <c r="L68" s="65"/>
      <c r="M68" s="65"/>
      <c r="N68" s="65"/>
      <c r="O68" s="66"/>
      <c r="P68" s="66"/>
      <c r="Q68" s="66"/>
      <c r="R68" s="65"/>
      <c r="S68" s="65"/>
      <c r="T68" s="65"/>
      <c r="U68" s="66"/>
      <c r="V68" s="66"/>
      <c r="W68" s="66"/>
      <c r="X68" s="65"/>
      <c r="Y68" s="65"/>
      <c r="Z68" s="65"/>
      <c r="AA68" s="66"/>
      <c r="AB68" s="66"/>
      <c r="AC68" s="66"/>
      <c r="AD68" s="65"/>
      <c r="AE68" s="65"/>
      <c r="AF68" s="65"/>
      <c r="AG68" s="66"/>
      <c r="AH68" s="66"/>
      <c r="AI68" s="66"/>
      <c r="AJ68" s="65"/>
      <c r="AK68" s="65"/>
      <c r="AL68" s="65"/>
      <c r="AM68" s="66"/>
      <c r="AN68" s="66"/>
      <c r="AO68" s="66"/>
    </row>
    <row r="69" spans="1:41" s="58" customFormat="1" ht="17.25" x14ac:dyDescent="0.3">
      <c r="A69" s="15" t="s">
        <v>21</v>
      </c>
      <c r="B69" s="16"/>
      <c r="C69" s="14">
        <f t="shared" ref="C69" si="42">H69+K69+N69+Q69+T69+W69+Z69+AC69+AF69+AI69+AL69</f>
        <v>0</v>
      </c>
      <c r="D69" s="45"/>
      <c r="E69" s="3"/>
      <c r="F69" s="132">
        <v>0</v>
      </c>
      <c r="G69" s="65"/>
      <c r="H69" s="65">
        <f t="shared" si="27"/>
        <v>0</v>
      </c>
      <c r="I69" s="132">
        <v>0</v>
      </c>
      <c r="J69" s="66"/>
      <c r="K69" s="66">
        <f t="shared" si="28"/>
        <v>0</v>
      </c>
      <c r="L69" s="65">
        <v>0</v>
      </c>
      <c r="M69" s="65"/>
      <c r="N69" s="65">
        <f t="shared" si="29"/>
        <v>0</v>
      </c>
      <c r="O69" s="132">
        <v>0</v>
      </c>
      <c r="P69" s="66"/>
      <c r="Q69" s="66">
        <f t="shared" si="30"/>
        <v>0</v>
      </c>
      <c r="R69" s="132">
        <v>0</v>
      </c>
      <c r="S69" s="65"/>
      <c r="T69" s="65">
        <f t="shared" si="31"/>
        <v>0</v>
      </c>
      <c r="U69" s="132"/>
      <c r="V69" s="66"/>
      <c r="W69" s="66">
        <f t="shared" si="32"/>
        <v>0</v>
      </c>
      <c r="X69" s="132"/>
      <c r="Y69" s="65"/>
      <c r="Z69" s="65">
        <f t="shared" si="33"/>
        <v>0</v>
      </c>
      <c r="AA69" s="132"/>
      <c r="AB69" s="66"/>
      <c r="AC69" s="66">
        <f t="shared" si="34"/>
        <v>0</v>
      </c>
      <c r="AD69" s="65"/>
      <c r="AE69" s="65"/>
      <c r="AF69" s="65">
        <f t="shared" si="35"/>
        <v>0</v>
      </c>
      <c r="AG69" s="66"/>
      <c r="AH69" s="66"/>
      <c r="AI69" s="66">
        <f t="shared" si="36"/>
        <v>0</v>
      </c>
      <c r="AJ69" s="65"/>
      <c r="AK69" s="65"/>
      <c r="AL69" s="65">
        <f t="shared" si="37"/>
        <v>0</v>
      </c>
      <c r="AM69" s="66"/>
      <c r="AN69" s="66"/>
      <c r="AO69" s="66">
        <f t="shared" ref="AO69:AO72" si="43">AM69+AN69</f>
        <v>0</v>
      </c>
    </row>
    <row r="70" spans="1:41" s="58" customFormat="1" ht="17.25" x14ac:dyDescent="0.3">
      <c r="A70" s="15" t="s">
        <v>22</v>
      </c>
      <c r="B70" s="16"/>
      <c r="C70" s="14">
        <f>H70+K70+N70+Q70+T70+W70+Z70+AC70+AF70+AI70+AL70+AO70</f>
        <v>56250</v>
      </c>
      <c r="D70" s="24"/>
      <c r="E70" s="3"/>
      <c r="F70" s="132">
        <v>0</v>
      </c>
      <c r="G70" s="65"/>
      <c r="H70" s="65">
        <f t="shared" si="27"/>
        <v>0</v>
      </c>
      <c r="I70" s="132">
        <v>0</v>
      </c>
      <c r="J70" s="66"/>
      <c r="K70" s="66">
        <f t="shared" si="28"/>
        <v>0</v>
      </c>
      <c r="L70" s="65">
        <v>0</v>
      </c>
      <c r="M70" s="65"/>
      <c r="N70" s="65">
        <f t="shared" si="29"/>
        <v>0</v>
      </c>
      <c r="O70" s="132">
        <v>0</v>
      </c>
      <c r="P70" s="66"/>
      <c r="Q70" s="66">
        <f t="shared" si="30"/>
        <v>0</v>
      </c>
      <c r="R70" s="132">
        <v>23750</v>
      </c>
      <c r="S70" s="65"/>
      <c r="T70" s="65">
        <f t="shared" si="31"/>
        <v>23750</v>
      </c>
      <c r="U70" s="132"/>
      <c r="V70" s="66"/>
      <c r="W70" s="66">
        <f t="shared" si="32"/>
        <v>0</v>
      </c>
      <c r="X70" s="132">
        <v>32500</v>
      </c>
      <c r="Y70" s="65"/>
      <c r="Z70" s="65">
        <f t="shared" si="33"/>
        <v>32500</v>
      </c>
      <c r="AA70" s="132">
        <v>0</v>
      </c>
      <c r="AB70" s="66"/>
      <c r="AC70" s="66">
        <f t="shared" si="34"/>
        <v>0</v>
      </c>
      <c r="AD70" s="65">
        <v>0</v>
      </c>
      <c r="AE70" s="65"/>
      <c r="AF70" s="65">
        <f t="shared" si="35"/>
        <v>0</v>
      </c>
      <c r="AG70" s="66"/>
      <c r="AH70" s="66"/>
      <c r="AI70" s="66">
        <f t="shared" si="36"/>
        <v>0</v>
      </c>
      <c r="AJ70" s="65"/>
      <c r="AK70" s="65"/>
      <c r="AL70" s="65">
        <f t="shared" si="37"/>
        <v>0</v>
      </c>
      <c r="AM70" s="66"/>
      <c r="AN70" s="66"/>
      <c r="AO70" s="66">
        <f t="shared" si="43"/>
        <v>0</v>
      </c>
    </row>
    <row r="71" spans="1:41" s="58" customFormat="1" ht="17.25" x14ac:dyDescent="0.3">
      <c r="A71" s="15" t="s">
        <v>23</v>
      </c>
      <c r="B71" s="16"/>
      <c r="C71" s="14">
        <f>H71+K71+N71+Q71+T71+W71+Z71+AC71+AF71+AI71+AL71+AO71</f>
        <v>130907.9</v>
      </c>
      <c r="D71" s="24"/>
      <c r="E71" s="3"/>
      <c r="F71" s="132">
        <v>184112</v>
      </c>
      <c r="G71" s="120">
        <f>-100000-10803.1</f>
        <v>-110803.1</v>
      </c>
      <c r="H71" s="65">
        <f t="shared" si="27"/>
        <v>73308.899999999994</v>
      </c>
      <c r="I71" s="132">
        <v>211355</v>
      </c>
      <c r="J71" s="120">
        <v>-162656</v>
      </c>
      <c r="K71" s="66">
        <f t="shared" si="28"/>
        <v>48699</v>
      </c>
      <c r="L71" s="65">
        <v>0</v>
      </c>
      <c r="M71" s="65"/>
      <c r="N71" s="65">
        <f t="shared" si="29"/>
        <v>0</v>
      </c>
      <c r="O71" s="132">
        <v>161869</v>
      </c>
      <c r="P71" s="120">
        <v>-158169</v>
      </c>
      <c r="Q71" s="66">
        <f t="shared" si="30"/>
        <v>3700</v>
      </c>
      <c r="R71" s="132">
        <v>1750</v>
      </c>
      <c r="S71" s="120">
        <v>-1750</v>
      </c>
      <c r="T71" s="65">
        <f t="shared" si="31"/>
        <v>0</v>
      </c>
      <c r="U71" s="132">
        <v>0</v>
      </c>
      <c r="V71" s="120">
        <v>0</v>
      </c>
      <c r="W71" s="66">
        <f t="shared" si="32"/>
        <v>0</v>
      </c>
      <c r="X71" s="132">
        <v>0</v>
      </c>
      <c r="Y71" s="65"/>
      <c r="Z71" s="65">
        <f t="shared" si="33"/>
        <v>0</v>
      </c>
      <c r="AA71" s="132">
        <v>11200</v>
      </c>
      <c r="AB71" s="120">
        <v>-6000</v>
      </c>
      <c r="AC71" s="66">
        <f t="shared" si="34"/>
        <v>5200</v>
      </c>
      <c r="AD71" s="65">
        <v>0</v>
      </c>
      <c r="AE71" s="120"/>
      <c r="AF71" s="65">
        <f t="shared" si="35"/>
        <v>0</v>
      </c>
      <c r="AG71" s="66"/>
      <c r="AH71" s="66"/>
      <c r="AI71" s="66">
        <f t="shared" si="36"/>
        <v>0</v>
      </c>
      <c r="AJ71" s="65"/>
      <c r="AK71" s="65"/>
      <c r="AL71" s="65">
        <f t="shared" si="37"/>
        <v>0</v>
      </c>
      <c r="AM71" s="66"/>
      <c r="AN71" s="66"/>
      <c r="AO71" s="66">
        <f t="shared" si="43"/>
        <v>0</v>
      </c>
    </row>
    <row r="72" spans="1:41" s="58" customFormat="1" ht="17.25" x14ac:dyDescent="0.3">
      <c r="A72" s="15" t="s">
        <v>24</v>
      </c>
      <c r="B72" s="16"/>
      <c r="C72" s="14">
        <f>H72+K72+N72+Q72+T72+W72+Z72+AC72+AF72+AI72+AL72+AO72</f>
        <v>2960906</v>
      </c>
      <c r="D72" s="24"/>
      <c r="E72" s="3"/>
      <c r="F72" s="132">
        <v>815129</v>
      </c>
      <c r="G72" s="65"/>
      <c r="H72" s="65">
        <f t="shared" si="27"/>
        <v>815129</v>
      </c>
      <c r="I72" s="132">
        <v>256174</v>
      </c>
      <c r="J72" s="66"/>
      <c r="K72" s="66">
        <f t="shared" si="28"/>
        <v>256174</v>
      </c>
      <c r="L72" s="65">
        <v>0</v>
      </c>
      <c r="M72" s="65"/>
      <c r="N72" s="65">
        <f t="shared" si="29"/>
        <v>0</v>
      </c>
      <c r="O72" s="132">
        <v>156505</v>
      </c>
      <c r="P72" s="66"/>
      <c r="Q72" s="66">
        <f t="shared" si="30"/>
        <v>156505</v>
      </c>
      <c r="R72" s="132">
        <v>1393054</v>
      </c>
      <c r="S72" s="65"/>
      <c r="T72" s="65">
        <f t="shared" si="31"/>
        <v>1393054</v>
      </c>
      <c r="U72" s="132">
        <v>85382</v>
      </c>
      <c r="V72" s="66"/>
      <c r="W72" s="66">
        <f t="shared" si="32"/>
        <v>85382</v>
      </c>
      <c r="X72" s="132">
        <v>101794</v>
      </c>
      <c r="Y72" s="65"/>
      <c r="Z72" s="65">
        <f t="shared" si="33"/>
        <v>101794</v>
      </c>
      <c r="AA72" s="132">
        <v>109747</v>
      </c>
      <c r="AB72" s="66"/>
      <c r="AC72" s="66">
        <f t="shared" si="34"/>
        <v>109747</v>
      </c>
      <c r="AD72" s="65">
        <v>43121</v>
      </c>
      <c r="AE72" s="65"/>
      <c r="AF72" s="65">
        <f t="shared" si="35"/>
        <v>43121</v>
      </c>
      <c r="AG72" s="66"/>
      <c r="AH72" s="66"/>
      <c r="AI72" s="66">
        <f t="shared" si="36"/>
        <v>0</v>
      </c>
      <c r="AJ72" s="65"/>
      <c r="AK72" s="65"/>
      <c r="AL72" s="65">
        <f t="shared" si="37"/>
        <v>0</v>
      </c>
      <c r="AM72" s="66"/>
      <c r="AN72" s="66"/>
      <c r="AO72" s="66">
        <f t="shared" si="43"/>
        <v>0</v>
      </c>
    </row>
    <row r="73" spans="1:41" s="58" customFormat="1" ht="18.95" customHeight="1" x14ac:dyDescent="0.3">
      <c r="A73" s="4" t="s">
        <v>25</v>
      </c>
      <c r="B73" s="16"/>
      <c r="C73" s="17">
        <f>SUM(C69:C72)</f>
        <v>3148063.9</v>
      </c>
      <c r="D73" s="28"/>
      <c r="E73" s="3"/>
      <c r="F73" s="17">
        <f>SUM(F69:F72)</f>
        <v>999241</v>
      </c>
      <c r="G73" s="17">
        <f t="shared" ref="G73:AO73" si="44">SUM(G69:G72)</f>
        <v>-110803.1</v>
      </c>
      <c r="H73" s="17">
        <f t="shared" si="44"/>
        <v>888437.9</v>
      </c>
      <c r="I73" s="17">
        <f t="shared" si="44"/>
        <v>467529</v>
      </c>
      <c r="J73" s="17">
        <f t="shared" si="44"/>
        <v>-162656</v>
      </c>
      <c r="K73" s="17">
        <f t="shared" si="44"/>
        <v>304873</v>
      </c>
      <c r="L73" s="17">
        <f t="shared" si="44"/>
        <v>0</v>
      </c>
      <c r="M73" s="17">
        <f t="shared" si="44"/>
        <v>0</v>
      </c>
      <c r="N73" s="17">
        <f t="shared" si="44"/>
        <v>0</v>
      </c>
      <c r="O73" s="17">
        <f t="shared" si="44"/>
        <v>318374</v>
      </c>
      <c r="P73" s="17">
        <f t="shared" si="44"/>
        <v>-158169</v>
      </c>
      <c r="Q73" s="17">
        <f t="shared" si="44"/>
        <v>160205</v>
      </c>
      <c r="R73" s="17">
        <f t="shared" si="44"/>
        <v>1418554</v>
      </c>
      <c r="S73" s="17">
        <f t="shared" si="44"/>
        <v>-1750</v>
      </c>
      <c r="T73" s="17">
        <f t="shared" si="44"/>
        <v>1416804</v>
      </c>
      <c r="U73" s="17">
        <f t="shared" si="44"/>
        <v>85382</v>
      </c>
      <c r="V73" s="17">
        <f t="shared" si="44"/>
        <v>0</v>
      </c>
      <c r="W73" s="17">
        <f t="shared" si="44"/>
        <v>85382</v>
      </c>
      <c r="X73" s="17">
        <f t="shared" si="44"/>
        <v>134294</v>
      </c>
      <c r="Y73" s="17">
        <f t="shared" si="44"/>
        <v>0</v>
      </c>
      <c r="Z73" s="17">
        <f t="shared" si="44"/>
        <v>134294</v>
      </c>
      <c r="AA73" s="17">
        <f t="shared" si="44"/>
        <v>120947</v>
      </c>
      <c r="AB73" s="17">
        <f t="shared" si="44"/>
        <v>-6000</v>
      </c>
      <c r="AC73" s="17">
        <f t="shared" si="44"/>
        <v>114947</v>
      </c>
      <c r="AD73" s="17">
        <f t="shared" si="44"/>
        <v>43121</v>
      </c>
      <c r="AE73" s="17">
        <f t="shared" si="44"/>
        <v>0</v>
      </c>
      <c r="AF73" s="17">
        <f t="shared" si="44"/>
        <v>43121</v>
      </c>
      <c r="AG73" s="17">
        <f t="shared" si="44"/>
        <v>0</v>
      </c>
      <c r="AH73" s="17">
        <f t="shared" si="44"/>
        <v>0</v>
      </c>
      <c r="AI73" s="17">
        <f t="shared" si="44"/>
        <v>0</v>
      </c>
      <c r="AJ73" s="17">
        <f t="shared" si="44"/>
        <v>0</v>
      </c>
      <c r="AK73" s="17">
        <f t="shared" si="44"/>
        <v>0</v>
      </c>
      <c r="AL73" s="17">
        <f t="shared" si="44"/>
        <v>0</v>
      </c>
      <c r="AM73" s="17">
        <f t="shared" si="44"/>
        <v>0</v>
      </c>
      <c r="AN73" s="17">
        <f t="shared" si="44"/>
        <v>0</v>
      </c>
      <c r="AO73" s="17">
        <f t="shared" si="44"/>
        <v>0</v>
      </c>
    </row>
    <row r="74" spans="1:41" s="58" customFormat="1" ht="18.95" customHeight="1" thickBot="1" x14ac:dyDescent="0.35">
      <c r="A74" s="70" t="s">
        <v>69</v>
      </c>
      <c r="B74" s="16"/>
      <c r="C74" s="17">
        <f>C66+C73</f>
        <v>4799963.9000000004</v>
      </c>
      <c r="D74" s="28"/>
      <c r="E74" s="3"/>
      <c r="F74" s="17">
        <f t="shared" ref="F74:AO74" si="45">F66+F73</f>
        <v>2381541</v>
      </c>
      <c r="G74" s="17">
        <f t="shared" si="45"/>
        <v>-110803.1</v>
      </c>
      <c r="H74" s="17">
        <f t="shared" si="45"/>
        <v>2270737.9</v>
      </c>
      <c r="I74" s="17">
        <f t="shared" si="45"/>
        <v>490929</v>
      </c>
      <c r="J74" s="17">
        <f t="shared" si="45"/>
        <v>-162656</v>
      </c>
      <c r="K74" s="17">
        <f t="shared" si="45"/>
        <v>328273</v>
      </c>
      <c r="L74" s="17">
        <f t="shared" si="45"/>
        <v>0</v>
      </c>
      <c r="M74" s="17">
        <f t="shared" si="45"/>
        <v>0</v>
      </c>
      <c r="N74" s="17">
        <f t="shared" si="45"/>
        <v>0</v>
      </c>
      <c r="O74" s="17">
        <f t="shared" si="45"/>
        <v>344374</v>
      </c>
      <c r="P74" s="17">
        <f t="shared" si="45"/>
        <v>-158169</v>
      </c>
      <c r="Q74" s="17">
        <f t="shared" si="45"/>
        <v>186205</v>
      </c>
      <c r="R74" s="17">
        <f t="shared" si="45"/>
        <v>1638754</v>
      </c>
      <c r="S74" s="17">
        <f t="shared" si="45"/>
        <v>-1750</v>
      </c>
      <c r="T74" s="17">
        <f t="shared" si="45"/>
        <v>1637004</v>
      </c>
      <c r="U74" s="17">
        <f t="shared" si="45"/>
        <v>85382</v>
      </c>
      <c r="V74" s="17">
        <f t="shared" si="45"/>
        <v>0</v>
      </c>
      <c r="W74" s="17">
        <f t="shared" si="45"/>
        <v>85382</v>
      </c>
      <c r="X74" s="17">
        <f t="shared" si="45"/>
        <v>134294</v>
      </c>
      <c r="Y74" s="17">
        <f t="shared" si="45"/>
        <v>0</v>
      </c>
      <c r="Z74" s="17">
        <f t="shared" si="45"/>
        <v>134294</v>
      </c>
      <c r="AA74" s="17">
        <f t="shared" si="45"/>
        <v>120947</v>
      </c>
      <c r="AB74" s="17">
        <f t="shared" si="45"/>
        <v>-6000</v>
      </c>
      <c r="AC74" s="17">
        <f t="shared" si="45"/>
        <v>114947</v>
      </c>
      <c r="AD74" s="17">
        <f t="shared" si="45"/>
        <v>43121</v>
      </c>
      <c r="AE74" s="17">
        <f t="shared" si="45"/>
        <v>0</v>
      </c>
      <c r="AF74" s="17">
        <f t="shared" si="45"/>
        <v>43121</v>
      </c>
      <c r="AG74" s="17">
        <f t="shared" si="45"/>
        <v>0</v>
      </c>
      <c r="AH74" s="17">
        <f t="shared" si="45"/>
        <v>0</v>
      </c>
      <c r="AI74" s="17">
        <f t="shared" si="45"/>
        <v>0</v>
      </c>
      <c r="AJ74" s="17">
        <f t="shared" si="45"/>
        <v>0</v>
      </c>
      <c r="AK74" s="17">
        <f t="shared" si="45"/>
        <v>0</v>
      </c>
      <c r="AL74" s="17">
        <f t="shared" si="45"/>
        <v>0</v>
      </c>
      <c r="AM74" s="17">
        <f t="shared" si="45"/>
        <v>0</v>
      </c>
      <c r="AN74" s="17">
        <f t="shared" si="45"/>
        <v>0</v>
      </c>
      <c r="AO74" s="17">
        <f t="shared" si="45"/>
        <v>0</v>
      </c>
    </row>
    <row r="75" spans="1:41" s="58" customFormat="1" ht="18" thickTop="1" x14ac:dyDescent="0.3">
      <c r="A75" s="15" t="s">
        <v>1</v>
      </c>
      <c r="B75" s="16"/>
      <c r="C75" s="46"/>
      <c r="D75" s="24"/>
      <c r="E75" s="3"/>
      <c r="F75" s="65"/>
      <c r="G75" s="65"/>
      <c r="H75" s="65"/>
      <c r="I75" s="66"/>
      <c r="J75" s="66"/>
      <c r="K75" s="66"/>
      <c r="L75" s="65"/>
      <c r="M75" s="65"/>
      <c r="N75" s="65"/>
      <c r="O75" s="66"/>
      <c r="P75" s="66"/>
      <c r="Q75" s="66"/>
      <c r="R75" s="65"/>
      <c r="S75" s="65"/>
      <c r="T75" s="65"/>
      <c r="U75" s="66"/>
      <c r="V75" s="66"/>
      <c r="W75" s="66"/>
      <c r="X75" s="65"/>
      <c r="Y75" s="65"/>
      <c r="Z75" s="65"/>
      <c r="AA75" s="66"/>
      <c r="AB75" s="66"/>
      <c r="AC75" s="66"/>
      <c r="AD75" s="65"/>
      <c r="AE75" s="65"/>
      <c r="AF75" s="65"/>
      <c r="AG75" s="66"/>
      <c r="AH75" s="66"/>
      <c r="AI75" s="66"/>
      <c r="AJ75" s="65"/>
      <c r="AK75" s="65"/>
      <c r="AL75" s="65"/>
      <c r="AM75" s="66"/>
      <c r="AN75" s="66"/>
      <c r="AO75" s="66"/>
    </row>
    <row r="76" spans="1:41" s="58" customFormat="1" ht="17.25" x14ac:dyDescent="0.3">
      <c r="A76" s="4" t="s">
        <v>26</v>
      </c>
      <c r="B76" s="16"/>
      <c r="C76" s="19"/>
      <c r="D76" s="24"/>
      <c r="E76" s="3"/>
      <c r="F76" s="65"/>
      <c r="G76" s="65"/>
      <c r="H76" s="65"/>
      <c r="I76" s="66"/>
      <c r="J76" s="66"/>
      <c r="K76" s="66"/>
      <c r="L76" s="65"/>
      <c r="M76" s="65"/>
      <c r="N76" s="65"/>
      <c r="O76" s="66"/>
      <c r="P76" s="66"/>
      <c r="Q76" s="66"/>
      <c r="R76" s="65"/>
      <c r="S76" s="65"/>
      <c r="T76" s="65"/>
      <c r="U76" s="66"/>
      <c r="V76" s="66"/>
      <c r="W76" s="66"/>
      <c r="X76" s="65"/>
      <c r="Y76" s="65"/>
      <c r="Z76" s="65"/>
      <c r="AA76" s="66"/>
      <c r="AB76" s="66"/>
      <c r="AC76" s="66"/>
      <c r="AD76" s="65"/>
      <c r="AE76" s="65"/>
      <c r="AF76" s="65"/>
      <c r="AG76" s="66"/>
      <c r="AH76" s="66"/>
      <c r="AI76" s="66"/>
      <c r="AJ76" s="65"/>
      <c r="AK76" s="65"/>
      <c r="AL76" s="65"/>
      <c r="AM76" s="66"/>
      <c r="AN76" s="66"/>
      <c r="AO76" s="66"/>
    </row>
    <row r="77" spans="1:41" s="58" customFormat="1" ht="6.95" customHeight="1" x14ac:dyDescent="0.3">
      <c r="A77" s="4"/>
      <c r="B77" s="16"/>
      <c r="C77" s="19"/>
      <c r="D77" s="24"/>
      <c r="E77" s="3"/>
      <c r="F77" s="65"/>
      <c r="G77" s="65"/>
      <c r="H77" s="65"/>
      <c r="I77" s="66"/>
      <c r="J77" s="66"/>
      <c r="K77" s="66"/>
      <c r="L77" s="65"/>
      <c r="M77" s="65"/>
      <c r="N77" s="65"/>
      <c r="O77" s="66"/>
      <c r="P77" s="66"/>
      <c r="Q77" s="66"/>
      <c r="R77" s="65"/>
      <c r="S77" s="65"/>
      <c r="T77" s="65"/>
      <c r="U77" s="66"/>
      <c r="V77" s="66"/>
      <c r="W77" s="66"/>
      <c r="X77" s="65"/>
      <c r="Y77" s="65"/>
      <c r="Z77" s="65"/>
      <c r="AA77" s="66"/>
      <c r="AB77" s="66"/>
      <c r="AC77" s="66"/>
      <c r="AD77" s="65"/>
      <c r="AE77" s="65"/>
      <c r="AF77" s="65"/>
      <c r="AG77" s="66"/>
      <c r="AH77" s="66"/>
      <c r="AI77" s="66"/>
      <c r="AJ77" s="65"/>
      <c r="AK77" s="65"/>
      <c r="AL77" s="65"/>
      <c r="AM77" s="66"/>
      <c r="AN77" s="66"/>
      <c r="AO77" s="66"/>
    </row>
    <row r="78" spans="1:41" s="58" customFormat="1" ht="17.25" x14ac:dyDescent="0.3">
      <c r="A78" s="4" t="s">
        <v>27</v>
      </c>
      <c r="B78" s="25"/>
      <c r="C78" s="47"/>
      <c r="D78" s="48"/>
      <c r="E78" s="3"/>
      <c r="F78" s="65"/>
      <c r="G78" s="65"/>
      <c r="H78" s="65"/>
      <c r="I78" s="66"/>
      <c r="J78" s="66"/>
      <c r="K78" s="66"/>
      <c r="L78" s="65"/>
      <c r="M78" s="65"/>
      <c r="N78" s="65"/>
      <c r="O78" s="66"/>
      <c r="P78" s="66"/>
      <c r="Q78" s="66"/>
      <c r="R78" s="65"/>
      <c r="S78" s="65"/>
      <c r="T78" s="65"/>
      <c r="U78" s="66"/>
      <c r="V78" s="66"/>
      <c r="W78" s="66"/>
      <c r="X78" s="65"/>
      <c r="Y78" s="65"/>
      <c r="Z78" s="65"/>
      <c r="AA78" s="66"/>
      <c r="AB78" s="66"/>
      <c r="AC78" s="66"/>
      <c r="AD78" s="65"/>
      <c r="AE78" s="65"/>
      <c r="AF78" s="65"/>
      <c r="AG78" s="66"/>
      <c r="AH78" s="66"/>
      <c r="AI78" s="66"/>
      <c r="AJ78" s="65"/>
      <c r="AK78" s="65"/>
      <c r="AL78" s="65"/>
      <c r="AM78" s="66"/>
      <c r="AN78" s="66"/>
      <c r="AO78" s="66"/>
    </row>
    <row r="79" spans="1:41" s="58" customFormat="1" ht="17.25" hidden="1" x14ac:dyDescent="0.3">
      <c r="A79" s="4" t="s">
        <v>28</v>
      </c>
      <c r="B79" s="16"/>
      <c r="C79" s="19"/>
      <c r="D79" s="24"/>
      <c r="E79" s="3"/>
      <c r="F79" s="65"/>
      <c r="G79" s="65"/>
      <c r="H79" s="65"/>
      <c r="I79" s="66"/>
      <c r="J79" s="66"/>
      <c r="K79" s="66"/>
      <c r="L79" s="65"/>
      <c r="M79" s="65"/>
      <c r="N79" s="65"/>
      <c r="O79" s="66"/>
      <c r="P79" s="66"/>
      <c r="Q79" s="66"/>
      <c r="R79" s="65"/>
      <c r="S79" s="65"/>
      <c r="T79" s="65"/>
      <c r="U79" s="66"/>
      <c r="V79" s="66"/>
      <c r="W79" s="66"/>
      <c r="X79" s="65"/>
      <c r="Y79" s="65"/>
      <c r="Z79" s="65"/>
      <c r="AA79" s="66"/>
      <c r="AB79" s="66"/>
      <c r="AC79" s="66"/>
      <c r="AD79" s="65"/>
      <c r="AE79" s="65"/>
      <c r="AF79" s="65"/>
      <c r="AG79" s="66"/>
      <c r="AH79" s="66"/>
      <c r="AI79" s="66"/>
      <c r="AJ79" s="65"/>
      <c r="AK79" s="65"/>
      <c r="AL79" s="65"/>
      <c r="AM79" s="66"/>
      <c r="AN79" s="66"/>
      <c r="AO79" s="66"/>
    </row>
    <row r="80" spans="1:41" s="58" customFormat="1" ht="17.25" hidden="1" x14ac:dyDescent="0.3">
      <c r="A80" s="15" t="s">
        <v>29</v>
      </c>
      <c r="B80" s="16"/>
      <c r="C80" s="19">
        <v>0</v>
      </c>
      <c r="D80" s="24"/>
      <c r="E80" s="3"/>
      <c r="F80" s="65"/>
      <c r="G80" s="65"/>
      <c r="H80" s="65"/>
      <c r="I80" s="66"/>
      <c r="J80" s="66"/>
      <c r="K80" s="66"/>
      <c r="L80" s="65"/>
      <c r="M80" s="65"/>
      <c r="N80" s="65"/>
      <c r="O80" s="66"/>
      <c r="P80" s="66"/>
      <c r="Q80" s="66"/>
      <c r="R80" s="65"/>
      <c r="S80" s="65"/>
      <c r="T80" s="65"/>
      <c r="U80" s="66"/>
      <c r="V80" s="66"/>
      <c r="W80" s="66"/>
      <c r="X80" s="65"/>
      <c r="Y80" s="65"/>
      <c r="Z80" s="65"/>
      <c r="AA80" s="66"/>
      <c r="AB80" s="66"/>
      <c r="AC80" s="66"/>
      <c r="AD80" s="65"/>
      <c r="AE80" s="65"/>
      <c r="AF80" s="65"/>
      <c r="AG80" s="66"/>
      <c r="AH80" s="66"/>
      <c r="AI80" s="66"/>
      <c r="AJ80" s="65"/>
      <c r="AK80" s="65"/>
      <c r="AL80" s="65"/>
      <c r="AM80" s="66"/>
      <c r="AN80" s="66"/>
      <c r="AO80" s="66"/>
    </row>
    <row r="81" spans="1:41" s="58" customFormat="1" ht="17.25" hidden="1" x14ac:dyDescent="0.3">
      <c r="A81" s="4" t="s">
        <v>30</v>
      </c>
      <c r="B81" s="16"/>
      <c r="C81" s="18">
        <f>C80</f>
        <v>0</v>
      </c>
      <c r="D81" s="24"/>
      <c r="E81" s="3"/>
      <c r="F81" s="65"/>
      <c r="G81" s="65"/>
      <c r="H81" s="65"/>
      <c r="I81" s="66"/>
      <c r="J81" s="66"/>
      <c r="K81" s="66"/>
      <c r="L81" s="65"/>
      <c r="M81" s="65"/>
      <c r="N81" s="65"/>
      <c r="O81" s="66"/>
      <c r="P81" s="66"/>
      <c r="Q81" s="66"/>
      <c r="R81" s="65"/>
      <c r="S81" s="65"/>
      <c r="T81" s="65"/>
      <c r="U81" s="66"/>
      <c r="V81" s="66"/>
      <c r="W81" s="66"/>
      <c r="X81" s="65"/>
      <c r="Y81" s="65"/>
      <c r="Z81" s="65"/>
      <c r="AA81" s="66"/>
      <c r="AB81" s="66"/>
      <c r="AC81" s="66"/>
      <c r="AD81" s="65"/>
      <c r="AE81" s="65"/>
      <c r="AF81" s="65"/>
      <c r="AG81" s="66"/>
      <c r="AH81" s="66"/>
      <c r="AI81" s="66"/>
      <c r="AJ81" s="65"/>
      <c r="AK81" s="65"/>
      <c r="AL81" s="65"/>
      <c r="AM81" s="66"/>
      <c r="AN81" s="66"/>
      <c r="AO81" s="66"/>
    </row>
    <row r="82" spans="1:41" s="58" customFormat="1" ht="9.9499999999999993" customHeight="1" x14ac:dyDescent="0.3">
      <c r="A82" s="15"/>
      <c r="B82" s="16"/>
      <c r="C82" s="19"/>
      <c r="D82" s="24"/>
      <c r="E82" s="3"/>
      <c r="F82" s="65"/>
      <c r="G82" s="65"/>
      <c r="H82" s="65"/>
      <c r="I82" s="66"/>
      <c r="J82" s="66"/>
      <c r="K82" s="66"/>
      <c r="L82" s="65"/>
      <c r="M82" s="65"/>
      <c r="N82" s="65"/>
      <c r="O82" s="66"/>
      <c r="P82" s="66"/>
      <c r="Q82" s="66"/>
      <c r="R82" s="65"/>
      <c r="S82" s="65"/>
      <c r="T82" s="65"/>
      <c r="U82" s="66"/>
      <c r="V82" s="66"/>
      <c r="W82" s="66"/>
      <c r="X82" s="65"/>
      <c r="Y82" s="65"/>
      <c r="Z82" s="65"/>
      <c r="AA82" s="66"/>
      <c r="AB82" s="66"/>
      <c r="AC82" s="66"/>
      <c r="AD82" s="65"/>
      <c r="AE82" s="65"/>
      <c r="AF82" s="65"/>
      <c r="AG82" s="66"/>
      <c r="AH82" s="66"/>
      <c r="AI82" s="66"/>
      <c r="AJ82" s="65"/>
      <c r="AK82" s="65"/>
      <c r="AL82" s="65"/>
      <c r="AM82" s="66"/>
      <c r="AN82" s="66"/>
      <c r="AO82" s="66"/>
    </row>
    <row r="83" spans="1:41" s="58" customFormat="1" ht="17.25" x14ac:dyDescent="0.3">
      <c r="A83" s="15" t="s">
        <v>31</v>
      </c>
      <c r="B83" s="16"/>
      <c r="C83" s="14">
        <f>H83+K83+N83+Q83+T83+W83+Z83+AC83+AF83+AI83+AL83+AO83</f>
        <v>4393435</v>
      </c>
      <c r="D83" s="24"/>
      <c r="E83" s="3"/>
      <c r="F83" s="132">
        <v>2097494</v>
      </c>
      <c r="G83" s="65"/>
      <c r="H83" s="65">
        <f t="shared" si="27"/>
        <v>2097494</v>
      </c>
      <c r="I83" s="132">
        <v>313581</v>
      </c>
      <c r="J83" s="66"/>
      <c r="K83" s="66">
        <f t="shared" si="28"/>
        <v>313581</v>
      </c>
      <c r="L83" s="65">
        <v>0</v>
      </c>
      <c r="M83" s="65"/>
      <c r="N83" s="65">
        <f t="shared" si="29"/>
        <v>0</v>
      </c>
      <c r="O83" s="132">
        <v>322091</v>
      </c>
      <c r="P83" s="66"/>
      <c r="Q83" s="66">
        <f t="shared" si="30"/>
        <v>322091</v>
      </c>
      <c r="R83" s="132">
        <v>1287125</v>
      </c>
      <c r="S83" s="65"/>
      <c r="T83" s="65">
        <f t="shared" si="31"/>
        <v>1287125</v>
      </c>
      <c r="U83" s="132">
        <v>85382</v>
      </c>
      <c r="V83" s="66"/>
      <c r="W83" s="66">
        <f t="shared" si="32"/>
        <v>85382</v>
      </c>
      <c r="X83" s="132">
        <v>134294</v>
      </c>
      <c r="Y83" s="65"/>
      <c r="Z83" s="65">
        <f t="shared" si="33"/>
        <v>134294</v>
      </c>
      <c r="AA83" s="132">
        <v>110347</v>
      </c>
      <c r="AB83" s="66"/>
      <c r="AC83" s="66">
        <f t="shared" si="34"/>
        <v>110347</v>
      </c>
      <c r="AD83" s="65">
        <v>43121</v>
      </c>
      <c r="AE83" s="65"/>
      <c r="AF83" s="65">
        <f t="shared" si="35"/>
        <v>43121</v>
      </c>
      <c r="AG83" s="66"/>
      <c r="AH83" s="66"/>
      <c r="AI83" s="66">
        <f t="shared" si="36"/>
        <v>0</v>
      </c>
      <c r="AJ83" s="65"/>
      <c r="AK83" s="65"/>
      <c r="AL83" s="65">
        <f t="shared" si="37"/>
        <v>0</v>
      </c>
      <c r="AM83" s="66"/>
      <c r="AN83" s="66"/>
      <c r="AO83" s="66">
        <f t="shared" ref="AO83" si="46">AM83+AN83</f>
        <v>0</v>
      </c>
    </row>
    <row r="84" spans="1:41" s="58" customFormat="1" ht="18.95" customHeight="1" x14ac:dyDescent="0.3">
      <c r="A84" s="4" t="s">
        <v>32</v>
      </c>
      <c r="B84" s="16"/>
      <c r="C84" s="17">
        <f>C83</f>
        <v>4393435</v>
      </c>
      <c r="D84" s="28"/>
      <c r="E84" s="3"/>
      <c r="F84" s="17">
        <f>F83</f>
        <v>2097494</v>
      </c>
      <c r="G84" s="17">
        <f t="shared" ref="G84:AO84" si="47">G83</f>
        <v>0</v>
      </c>
      <c r="H84" s="17">
        <f t="shared" si="47"/>
        <v>2097494</v>
      </c>
      <c r="I84" s="17">
        <f t="shared" si="47"/>
        <v>313581</v>
      </c>
      <c r="J84" s="17">
        <f t="shared" si="47"/>
        <v>0</v>
      </c>
      <c r="K84" s="17">
        <f t="shared" si="47"/>
        <v>313581</v>
      </c>
      <c r="L84" s="17">
        <f t="shared" si="47"/>
        <v>0</v>
      </c>
      <c r="M84" s="17">
        <f t="shared" si="47"/>
        <v>0</v>
      </c>
      <c r="N84" s="17">
        <f t="shared" si="47"/>
        <v>0</v>
      </c>
      <c r="O84" s="17">
        <f t="shared" si="47"/>
        <v>322091</v>
      </c>
      <c r="P84" s="17">
        <f t="shared" si="47"/>
        <v>0</v>
      </c>
      <c r="Q84" s="17">
        <f t="shared" si="47"/>
        <v>322091</v>
      </c>
      <c r="R84" s="17">
        <f t="shared" si="47"/>
        <v>1287125</v>
      </c>
      <c r="S84" s="17">
        <f t="shared" si="47"/>
        <v>0</v>
      </c>
      <c r="T84" s="17">
        <f t="shared" si="47"/>
        <v>1287125</v>
      </c>
      <c r="U84" s="17">
        <f t="shared" si="47"/>
        <v>85382</v>
      </c>
      <c r="V84" s="17">
        <f t="shared" si="47"/>
        <v>0</v>
      </c>
      <c r="W84" s="17">
        <f t="shared" si="47"/>
        <v>85382</v>
      </c>
      <c r="X84" s="17">
        <f t="shared" si="47"/>
        <v>134294</v>
      </c>
      <c r="Y84" s="17">
        <f t="shared" si="47"/>
        <v>0</v>
      </c>
      <c r="Z84" s="17">
        <f t="shared" si="47"/>
        <v>134294</v>
      </c>
      <c r="AA84" s="17">
        <f t="shared" si="47"/>
        <v>110347</v>
      </c>
      <c r="AB84" s="17">
        <f t="shared" si="47"/>
        <v>0</v>
      </c>
      <c r="AC84" s="17">
        <f t="shared" si="47"/>
        <v>110347</v>
      </c>
      <c r="AD84" s="17">
        <f t="shared" si="47"/>
        <v>43121</v>
      </c>
      <c r="AE84" s="17">
        <f t="shared" si="47"/>
        <v>0</v>
      </c>
      <c r="AF84" s="17">
        <f t="shared" si="47"/>
        <v>43121</v>
      </c>
      <c r="AG84" s="17">
        <f t="shared" si="47"/>
        <v>0</v>
      </c>
      <c r="AH84" s="17">
        <f t="shared" si="47"/>
        <v>0</v>
      </c>
      <c r="AI84" s="17">
        <f t="shared" si="47"/>
        <v>0</v>
      </c>
      <c r="AJ84" s="17">
        <f t="shared" si="47"/>
        <v>0</v>
      </c>
      <c r="AK84" s="17">
        <f t="shared" si="47"/>
        <v>0</v>
      </c>
      <c r="AL84" s="17">
        <f t="shared" si="47"/>
        <v>0</v>
      </c>
      <c r="AM84" s="17">
        <f t="shared" si="47"/>
        <v>0</v>
      </c>
      <c r="AN84" s="17">
        <f t="shared" si="47"/>
        <v>0</v>
      </c>
      <c r="AO84" s="17">
        <f t="shared" si="47"/>
        <v>0</v>
      </c>
    </row>
    <row r="85" spans="1:41" s="58" customFormat="1" ht="9.9499999999999993" customHeight="1" x14ac:dyDescent="0.3">
      <c r="A85" s="4"/>
      <c r="B85" s="16"/>
      <c r="C85" s="17"/>
      <c r="D85" s="28"/>
      <c r="E85" s="3"/>
      <c r="F85" s="65"/>
      <c r="G85" s="65"/>
      <c r="H85" s="65"/>
      <c r="I85" s="66"/>
      <c r="J85" s="66"/>
      <c r="K85" s="66"/>
      <c r="L85" s="65"/>
      <c r="M85" s="65"/>
      <c r="N85" s="65"/>
      <c r="O85" s="66"/>
      <c r="P85" s="66"/>
      <c r="Q85" s="66"/>
      <c r="R85" s="65"/>
      <c r="S85" s="65"/>
      <c r="T85" s="65"/>
      <c r="U85" s="66"/>
      <c r="V85" s="66"/>
      <c r="W85" s="66"/>
      <c r="X85" s="65"/>
      <c r="Y85" s="65"/>
      <c r="Z85" s="65"/>
      <c r="AA85" s="66"/>
      <c r="AB85" s="66"/>
      <c r="AC85" s="66"/>
      <c r="AD85" s="65"/>
      <c r="AE85" s="65"/>
      <c r="AF85" s="65"/>
      <c r="AG85" s="66"/>
      <c r="AH85" s="66"/>
      <c r="AI85" s="66"/>
      <c r="AJ85" s="65"/>
      <c r="AK85" s="65"/>
      <c r="AL85" s="65"/>
      <c r="AM85" s="66"/>
      <c r="AN85" s="66"/>
      <c r="AO85" s="66"/>
    </row>
    <row r="86" spans="1:41" s="58" customFormat="1" ht="17.25" x14ac:dyDescent="0.3">
      <c r="A86" s="4" t="s">
        <v>33</v>
      </c>
      <c r="B86" s="16"/>
      <c r="C86" s="28"/>
      <c r="D86" s="28"/>
      <c r="E86" s="3"/>
      <c r="F86" s="65"/>
      <c r="G86" s="65"/>
      <c r="H86" s="65">
        <f t="shared" si="27"/>
        <v>0</v>
      </c>
      <c r="I86" s="66"/>
      <c r="J86" s="66"/>
      <c r="K86" s="66">
        <f t="shared" si="28"/>
        <v>0</v>
      </c>
      <c r="L86" s="65"/>
      <c r="M86" s="65"/>
      <c r="N86" s="65">
        <f t="shared" si="29"/>
        <v>0</v>
      </c>
      <c r="O86" s="66"/>
      <c r="P86" s="66"/>
      <c r="Q86" s="66">
        <f t="shared" si="30"/>
        <v>0</v>
      </c>
      <c r="R86" s="65"/>
      <c r="S86" s="65"/>
      <c r="T86" s="65">
        <f t="shared" si="31"/>
        <v>0</v>
      </c>
      <c r="U86" s="66"/>
      <c r="V86" s="66"/>
      <c r="W86" s="66">
        <f t="shared" si="32"/>
        <v>0</v>
      </c>
      <c r="X86" s="65"/>
      <c r="Y86" s="65"/>
      <c r="Z86" s="65">
        <f t="shared" si="33"/>
        <v>0</v>
      </c>
      <c r="AA86" s="66"/>
      <c r="AB86" s="66"/>
      <c r="AC86" s="66">
        <f t="shared" si="34"/>
        <v>0</v>
      </c>
      <c r="AD86" s="65"/>
      <c r="AE86" s="65"/>
      <c r="AF86" s="65">
        <f t="shared" si="35"/>
        <v>0</v>
      </c>
      <c r="AG86" s="66"/>
      <c r="AH86" s="66"/>
      <c r="AI86" s="66">
        <f t="shared" si="36"/>
        <v>0</v>
      </c>
      <c r="AJ86" s="65"/>
      <c r="AK86" s="65"/>
      <c r="AL86" s="65">
        <f t="shared" si="37"/>
        <v>0</v>
      </c>
      <c r="AM86" s="66"/>
      <c r="AN86" s="66"/>
      <c r="AO86" s="66">
        <f t="shared" ref="AO86:AO88" si="48">AM86+AN86</f>
        <v>0</v>
      </c>
    </row>
    <row r="87" spans="1:41" s="58" customFormat="1" ht="17.25" x14ac:dyDescent="0.3">
      <c r="A87" s="70" t="s">
        <v>78</v>
      </c>
      <c r="B87" s="16"/>
      <c r="C87" s="21"/>
      <c r="D87" s="28"/>
      <c r="E87" s="3"/>
      <c r="F87" s="65"/>
      <c r="G87" s="65"/>
      <c r="H87" s="65">
        <f t="shared" si="27"/>
        <v>0</v>
      </c>
      <c r="I87" s="66"/>
      <c r="J87" s="66"/>
      <c r="K87" s="66">
        <f t="shared" si="28"/>
        <v>0</v>
      </c>
      <c r="L87" s="65"/>
      <c r="M87" s="65"/>
      <c r="N87" s="65">
        <f t="shared" si="29"/>
        <v>0</v>
      </c>
      <c r="O87" s="66"/>
      <c r="P87" s="66"/>
      <c r="Q87" s="66">
        <f t="shared" si="30"/>
        <v>0</v>
      </c>
      <c r="R87" s="65"/>
      <c r="S87" s="65"/>
      <c r="T87" s="65">
        <f t="shared" si="31"/>
        <v>0</v>
      </c>
      <c r="U87" s="66"/>
      <c r="V87" s="66"/>
      <c r="W87" s="66">
        <f t="shared" si="32"/>
        <v>0</v>
      </c>
      <c r="X87" s="65"/>
      <c r="Y87" s="65"/>
      <c r="Z87" s="65">
        <f t="shared" si="33"/>
        <v>0</v>
      </c>
      <c r="AA87" s="66"/>
      <c r="AB87" s="66"/>
      <c r="AC87" s="66">
        <f t="shared" si="34"/>
        <v>0</v>
      </c>
      <c r="AD87" s="65"/>
      <c r="AE87" s="65"/>
      <c r="AF87" s="65">
        <f t="shared" si="35"/>
        <v>0</v>
      </c>
      <c r="AG87" s="66"/>
      <c r="AH87" s="66"/>
      <c r="AI87" s="66">
        <f t="shared" si="36"/>
        <v>0</v>
      </c>
      <c r="AJ87" s="65"/>
      <c r="AK87" s="65"/>
      <c r="AL87" s="65">
        <f t="shared" si="37"/>
        <v>0</v>
      </c>
      <c r="AM87" s="66"/>
      <c r="AN87" s="66"/>
      <c r="AO87" s="66">
        <f t="shared" si="48"/>
        <v>0</v>
      </c>
    </row>
    <row r="88" spans="1:41" s="58" customFormat="1" ht="17.25" x14ac:dyDescent="0.3">
      <c r="A88" s="15" t="s">
        <v>34</v>
      </c>
      <c r="B88" s="16"/>
      <c r="C88" s="14">
        <f>H88+K88+N88+Q88+T88+W88+Z88+AC88+AF88+AI88+AL88+AO88</f>
        <v>0</v>
      </c>
      <c r="D88" s="28"/>
      <c r="E88" s="3"/>
      <c r="F88" s="132">
        <v>0</v>
      </c>
      <c r="G88" s="65"/>
      <c r="H88" s="65">
        <f t="shared" si="27"/>
        <v>0</v>
      </c>
      <c r="I88" s="132">
        <v>0</v>
      </c>
      <c r="J88" s="66"/>
      <c r="K88" s="66">
        <f t="shared" si="28"/>
        <v>0</v>
      </c>
      <c r="L88" s="65">
        <v>0</v>
      </c>
      <c r="M88" s="65"/>
      <c r="N88" s="65">
        <f t="shared" si="29"/>
        <v>0</v>
      </c>
      <c r="O88" s="132">
        <v>0</v>
      </c>
      <c r="P88" s="66"/>
      <c r="Q88" s="66">
        <f t="shared" si="30"/>
        <v>0</v>
      </c>
      <c r="R88" s="132">
        <v>0</v>
      </c>
      <c r="S88" s="65"/>
      <c r="T88" s="65">
        <f t="shared" si="31"/>
        <v>0</v>
      </c>
      <c r="U88" s="132">
        <v>0</v>
      </c>
      <c r="V88" s="66"/>
      <c r="W88" s="66">
        <f t="shared" si="32"/>
        <v>0</v>
      </c>
      <c r="X88" s="65"/>
      <c r="Y88" s="65"/>
      <c r="Z88" s="65">
        <f t="shared" si="33"/>
        <v>0</v>
      </c>
      <c r="AA88" s="66"/>
      <c r="AB88" s="66"/>
      <c r="AC88" s="66">
        <f t="shared" si="34"/>
        <v>0</v>
      </c>
      <c r="AD88" s="65"/>
      <c r="AE88" s="65"/>
      <c r="AF88" s="65">
        <f t="shared" si="35"/>
        <v>0</v>
      </c>
      <c r="AG88" s="66"/>
      <c r="AH88" s="66"/>
      <c r="AI88" s="66">
        <f t="shared" si="36"/>
        <v>0</v>
      </c>
      <c r="AJ88" s="65"/>
      <c r="AK88" s="65"/>
      <c r="AL88" s="65">
        <f t="shared" si="37"/>
        <v>0</v>
      </c>
      <c r="AM88" s="66"/>
      <c r="AN88" s="66"/>
      <c r="AO88" s="66">
        <f t="shared" si="48"/>
        <v>0</v>
      </c>
    </row>
    <row r="89" spans="1:41" s="58" customFormat="1" ht="17.25" x14ac:dyDescent="0.3">
      <c r="A89" s="71" t="s">
        <v>77</v>
      </c>
      <c r="B89" s="16"/>
      <c r="C89" s="17">
        <f>C88</f>
        <v>0</v>
      </c>
      <c r="D89" s="28"/>
      <c r="E89" s="3"/>
      <c r="F89" s="17">
        <f>F88</f>
        <v>0</v>
      </c>
      <c r="G89" s="17">
        <f t="shared" ref="G89:AO89" si="49">G88</f>
        <v>0</v>
      </c>
      <c r="H89" s="17">
        <f t="shared" si="49"/>
        <v>0</v>
      </c>
      <c r="I89" s="17">
        <f t="shared" si="49"/>
        <v>0</v>
      </c>
      <c r="J89" s="17">
        <f t="shared" si="49"/>
        <v>0</v>
      </c>
      <c r="K89" s="17">
        <f t="shared" si="49"/>
        <v>0</v>
      </c>
      <c r="L89" s="17">
        <f t="shared" si="49"/>
        <v>0</v>
      </c>
      <c r="M89" s="17">
        <f t="shared" si="49"/>
        <v>0</v>
      </c>
      <c r="N89" s="17">
        <f t="shared" si="49"/>
        <v>0</v>
      </c>
      <c r="O89" s="17">
        <f t="shared" si="49"/>
        <v>0</v>
      </c>
      <c r="P89" s="17">
        <f t="shared" si="49"/>
        <v>0</v>
      </c>
      <c r="Q89" s="17">
        <f t="shared" si="49"/>
        <v>0</v>
      </c>
      <c r="R89" s="17">
        <f t="shared" si="49"/>
        <v>0</v>
      </c>
      <c r="S89" s="17">
        <f t="shared" si="49"/>
        <v>0</v>
      </c>
      <c r="T89" s="17">
        <f t="shared" si="49"/>
        <v>0</v>
      </c>
      <c r="U89" s="17">
        <f t="shared" si="49"/>
        <v>0</v>
      </c>
      <c r="V89" s="17">
        <f t="shared" si="49"/>
        <v>0</v>
      </c>
      <c r="W89" s="17">
        <f t="shared" si="49"/>
        <v>0</v>
      </c>
      <c r="X89" s="17">
        <f t="shared" si="49"/>
        <v>0</v>
      </c>
      <c r="Y89" s="17">
        <f t="shared" si="49"/>
        <v>0</v>
      </c>
      <c r="Z89" s="17">
        <f t="shared" si="49"/>
        <v>0</v>
      </c>
      <c r="AA89" s="17">
        <f t="shared" si="49"/>
        <v>0</v>
      </c>
      <c r="AB89" s="17">
        <f t="shared" si="49"/>
        <v>0</v>
      </c>
      <c r="AC89" s="17">
        <f t="shared" si="49"/>
        <v>0</v>
      </c>
      <c r="AD89" s="17">
        <f t="shared" si="49"/>
        <v>0</v>
      </c>
      <c r="AE89" s="17">
        <f t="shared" si="49"/>
        <v>0</v>
      </c>
      <c r="AF89" s="17">
        <f t="shared" si="49"/>
        <v>0</v>
      </c>
      <c r="AG89" s="17">
        <f t="shared" si="49"/>
        <v>0</v>
      </c>
      <c r="AH89" s="17">
        <f t="shared" si="49"/>
        <v>0</v>
      </c>
      <c r="AI89" s="17">
        <f t="shared" si="49"/>
        <v>0</v>
      </c>
      <c r="AJ89" s="17">
        <f t="shared" si="49"/>
        <v>0</v>
      </c>
      <c r="AK89" s="17">
        <f t="shared" si="49"/>
        <v>0</v>
      </c>
      <c r="AL89" s="17">
        <f t="shared" si="49"/>
        <v>0</v>
      </c>
      <c r="AM89" s="17">
        <f t="shared" si="49"/>
        <v>0</v>
      </c>
      <c r="AN89" s="17">
        <f t="shared" si="49"/>
        <v>0</v>
      </c>
      <c r="AO89" s="17">
        <f t="shared" si="49"/>
        <v>0</v>
      </c>
    </row>
    <row r="90" spans="1:41" s="58" customFormat="1" ht="11.1" customHeight="1" x14ac:dyDescent="0.3">
      <c r="A90" s="15"/>
      <c r="B90" s="16"/>
      <c r="C90" s="24"/>
      <c r="D90" s="24"/>
      <c r="E90" s="3"/>
      <c r="F90" s="65"/>
      <c r="G90" s="65"/>
      <c r="H90" s="65"/>
      <c r="I90" s="66"/>
      <c r="J90" s="66"/>
      <c r="K90" s="66"/>
      <c r="L90" s="65"/>
      <c r="M90" s="65"/>
      <c r="N90" s="65"/>
      <c r="O90" s="66"/>
      <c r="P90" s="66"/>
      <c r="Q90" s="66"/>
      <c r="R90" s="65"/>
      <c r="S90" s="65"/>
      <c r="T90" s="65"/>
      <c r="U90" s="66"/>
      <c r="V90" s="66"/>
      <c r="W90" s="66"/>
      <c r="X90" s="65"/>
      <c r="Y90" s="65"/>
      <c r="Z90" s="65"/>
      <c r="AA90" s="66"/>
      <c r="AB90" s="66"/>
      <c r="AC90" s="66"/>
      <c r="AD90" s="65"/>
      <c r="AE90" s="65"/>
      <c r="AF90" s="65"/>
      <c r="AG90" s="66"/>
      <c r="AH90" s="66"/>
      <c r="AI90" s="66"/>
      <c r="AJ90" s="65"/>
      <c r="AK90" s="65"/>
      <c r="AL90" s="65"/>
      <c r="AM90" s="66"/>
      <c r="AN90" s="66"/>
      <c r="AO90" s="66"/>
    </row>
    <row r="91" spans="1:41" s="58" customFormat="1" ht="17.25" x14ac:dyDescent="0.3">
      <c r="A91" s="70" t="s">
        <v>79</v>
      </c>
      <c r="B91" s="16"/>
      <c r="C91" s="19"/>
      <c r="D91" s="24"/>
      <c r="E91" s="3"/>
      <c r="F91" s="65"/>
      <c r="G91" s="65"/>
      <c r="H91" s="65"/>
      <c r="I91" s="66"/>
      <c r="J91" s="66"/>
      <c r="K91" s="66"/>
      <c r="L91" s="65"/>
      <c r="M91" s="65"/>
      <c r="N91" s="65"/>
      <c r="O91" s="66"/>
      <c r="P91" s="66"/>
      <c r="Q91" s="66"/>
      <c r="R91" s="65"/>
      <c r="S91" s="65"/>
      <c r="T91" s="65"/>
      <c r="U91" s="66"/>
      <c r="V91" s="66"/>
      <c r="W91" s="66"/>
      <c r="X91" s="65"/>
      <c r="Y91" s="65"/>
      <c r="Z91" s="65"/>
      <c r="AA91" s="66"/>
      <c r="AB91" s="66"/>
      <c r="AC91" s="66"/>
      <c r="AD91" s="65"/>
      <c r="AE91" s="65"/>
      <c r="AF91" s="65"/>
      <c r="AG91" s="66"/>
      <c r="AH91" s="66"/>
      <c r="AI91" s="66"/>
      <c r="AJ91" s="65"/>
      <c r="AK91" s="65"/>
      <c r="AL91" s="65"/>
      <c r="AM91" s="66"/>
      <c r="AN91" s="66"/>
      <c r="AO91" s="66"/>
    </row>
    <row r="92" spans="1:41" s="58" customFormat="1" ht="17.25" x14ac:dyDescent="0.3">
      <c r="A92" s="68" t="s">
        <v>75</v>
      </c>
      <c r="B92" s="16"/>
      <c r="C92" s="14">
        <f>H92+K92+N92+Q92+T92+W92+Z92+AC92+AF92+AI92+AL92+AO92</f>
        <v>0</v>
      </c>
      <c r="D92" s="24"/>
      <c r="E92" s="3"/>
      <c r="F92" s="132">
        <v>0</v>
      </c>
      <c r="G92" s="65"/>
      <c r="H92" s="65">
        <f t="shared" si="27"/>
        <v>0</v>
      </c>
      <c r="I92" s="132"/>
      <c r="J92" s="66"/>
      <c r="K92" s="66">
        <f t="shared" si="28"/>
        <v>0</v>
      </c>
      <c r="L92" s="65">
        <v>0</v>
      </c>
      <c r="M92" s="65"/>
      <c r="N92" s="65">
        <f t="shared" si="29"/>
        <v>0</v>
      </c>
      <c r="O92" s="132">
        <v>0</v>
      </c>
      <c r="P92" s="66"/>
      <c r="Q92" s="66">
        <f t="shared" si="30"/>
        <v>0</v>
      </c>
      <c r="R92" s="132">
        <v>0</v>
      </c>
      <c r="S92" s="65"/>
      <c r="T92" s="65">
        <f t="shared" si="31"/>
        <v>0</v>
      </c>
      <c r="U92" s="132">
        <v>0</v>
      </c>
      <c r="V92" s="66"/>
      <c r="W92" s="66">
        <f t="shared" si="32"/>
        <v>0</v>
      </c>
      <c r="X92" s="65"/>
      <c r="Y92" s="65"/>
      <c r="Z92" s="65">
        <f t="shared" si="33"/>
        <v>0</v>
      </c>
      <c r="AA92" s="66"/>
      <c r="AB92" s="66"/>
      <c r="AC92" s="66">
        <f t="shared" si="34"/>
        <v>0</v>
      </c>
      <c r="AD92" s="65"/>
      <c r="AE92" s="65"/>
      <c r="AF92" s="65">
        <f t="shared" si="35"/>
        <v>0</v>
      </c>
      <c r="AG92" s="66"/>
      <c r="AH92" s="66"/>
      <c r="AI92" s="66">
        <f t="shared" si="36"/>
        <v>0</v>
      </c>
      <c r="AJ92" s="65"/>
      <c r="AK92" s="65"/>
      <c r="AL92" s="65">
        <f t="shared" si="37"/>
        <v>0</v>
      </c>
      <c r="AM92" s="66"/>
      <c r="AN92" s="66"/>
      <c r="AO92" s="66">
        <f t="shared" ref="AO92:AO95" si="50">AM92+AN92</f>
        <v>0</v>
      </c>
    </row>
    <row r="93" spans="1:41" s="58" customFormat="1" ht="17.25" x14ac:dyDescent="0.3">
      <c r="A93" s="15" t="s">
        <v>35</v>
      </c>
      <c r="B93" s="16"/>
      <c r="C93" s="14">
        <f>H93+K93+N93+Q93+T93+W93+Z93+AC93+AF93+AI93+AL93+AO93</f>
        <v>165570</v>
      </c>
      <c r="D93" s="24"/>
      <c r="E93" s="3"/>
      <c r="F93" s="132">
        <v>27859</v>
      </c>
      <c r="G93" s="65"/>
      <c r="H93" s="65">
        <f t="shared" si="27"/>
        <v>27859</v>
      </c>
      <c r="I93" s="132">
        <v>36522</v>
      </c>
      <c r="J93" s="66"/>
      <c r="K93" s="66">
        <f t="shared" si="28"/>
        <v>36522</v>
      </c>
      <c r="L93" s="65">
        <v>0</v>
      </c>
      <c r="M93" s="65"/>
      <c r="N93" s="65">
        <f t="shared" si="29"/>
        <v>0</v>
      </c>
      <c r="O93" s="132">
        <v>11480</v>
      </c>
      <c r="P93" s="66"/>
      <c r="Q93" s="66">
        <f t="shared" si="30"/>
        <v>11480</v>
      </c>
      <c r="R93" s="132">
        <v>84709</v>
      </c>
      <c r="S93" s="65"/>
      <c r="T93" s="65">
        <f t="shared" si="31"/>
        <v>84709</v>
      </c>
      <c r="U93" s="132">
        <v>0</v>
      </c>
      <c r="V93" s="66"/>
      <c r="W93" s="66">
        <f t="shared" si="32"/>
        <v>0</v>
      </c>
      <c r="X93" s="65">
        <v>0</v>
      </c>
      <c r="Y93" s="65"/>
      <c r="Z93" s="65">
        <f t="shared" si="33"/>
        <v>0</v>
      </c>
      <c r="AA93" s="66">
        <v>5000</v>
      </c>
      <c r="AB93" s="66"/>
      <c r="AC93" s="66">
        <f t="shared" si="34"/>
        <v>5000</v>
      </c>
      <c r="AD93" s="65"/>
      <c r="AE93" s="65"/>
      <c r="AF93" s="65">
        <f t="shared" si="35"/>
        <v>0</v>
      </c>
      <c r="AG93" s="66"/>
      <c r="AH93" s="66"/>
      <c r="AI93" s="66">
        <f t="shared" si="36"/>
        <v>0</v>
      </c>
      <c r="AJ93" s="65"/>
      <c r="AK93" s="65"/>
      <c r="AL93" s="65">
        <f t="shared" si="37"/>
        <v>0</v>
      </c>
      <c r="AM93" s="66"/>
      <c r="AN93" s="66"/>
      <c r="AO93" s="66">
        <f t="shared" si="50"/>
        <v>0</v>
      </c>
    </row>
    <row r="94" spans="1:41" s="58" customFormat="1" ht="17.25" x14ac:dyDescent="0.3">
      <c r="A94" s="68" t="s">
        <v>76</v>
      </c>
      <c r="B94" s="16"/>
      <c r="C94" s="14">
        <f>H94+K94+N94+Q94+T94+W94+Z94+AC94+AF94+AI94+AL94+AO94</f>
        <v>40374</v>
      </c>
      <c r="D94" s="24"/>
      <c r="E94" s="3"/>
      <c r="F94" s="132">
        <v>40374</v>
      </c>
      <c r="G94" s="65"/>
      <c r="H94" s="65">
        <f t="shared" si="27"/>
        <v>40374</v>
      </c>
      <c r="I94" s="132">
        <v>0</v>
      </c>
      <c r="J94" s="66"/>
      <c r="K94" s="66">
        <f t="shared" si="28"/>
        <v>0</v>
      </c>
      <c r="L94" s="65">
        <v>0</v>
      </c>
      <c r="M94" s="65"/>
      <c r="N94" s="65">
        <f t="shared" si="29"/>
        <v>0</v>
      </c>
      <c r="O94" s="132">
        <v>0</v>
      </c>
      <c r="P94" s="66"/>
      <c r="Q94" s="66">
        <f t="shared" si="30"/>
        <v>0</v>
      </c>
      <c r="R94" s="132">
        <v>0</v>
      </c>
      <c r="S94" s="65"/>
      <c r="T94" s="65">
        <f t="shared" si="31"/>
        <v>0</v>
      </c>
      <c r="U94" s="132">
        <v>0</v>
      </c>
      <c r="V94" s="66"/>
      <c r="W94" s="66">
        <f t="shared" si="32"/>
        <v>0</v>
      </c>
      <c r="X94" s="65"/>
      <c r="Y94" s="65"/>
      <c r="Z94" s="65">
        <f t="shared" si="33"/>
        <v>0</v>
      </c>
      <c r="AA94" s="66"/>
      <c r="AB94" s="66"/>
      <c r="AC94" s="66">
        <f t="shared" si="34"/>
        <v>0</v>
      </c>
      <c r="AD94" s="65"/>
      <c r="AE94" s="65"/>
      <c r="AF94" s="65">
        <f t="shared" si="35"/>
        <v>0</v>
      </c>
      <c r="AG94" s="66"/>
      <c r="AH94" s="66"/>
      <c r="AI94" s="66">
        <f t="shared" si="36"/>
        <v>0</v>
      </c>
      <c r="AJ94" s="65"/>
      <c r="AK94" s="65"/>
      <c r="AL94" s="65">
        <f t="shared" si="37"/>
        <v>0</v>
      </c>
      <c r="AM94" s="66"/>
      <c r="AN94" s="66"/>
      <c r="AO94" s="66">
        <f t="shared" si="50"/>
        <v>0</v>
      </c>
    </row>
    <row r="95" spans="1:41" s="58" customFormat="1" ht="18.95" customHeight="1" x14ac:dyDescent="0.3">
      <c r="A95" s="15" t="s">
        <v>36</v>
      </c>
      <c r="B95" s="16"/>
      <c r="C95" s="14">
        <f>H95+K95+N95+Q95+T95+W95+Z95+AC95+AF95+AI95+AL95+AO95</f>
        <v>200582.5</v>
      </c>
      <c r="D95" s="45"/>
      <c r="E95" s="3"/>
      <c r="F95" s="132">
        <v>215814</v>
      </c>
      <c r="G95" s="120">
        <f>-1750-6000-162656.5</f>
        <v>-170406.5</v>
      </c>
      <c r="H95" s="65">
        <f t="shared" si="27"/>
        <v>45407.5</v>
      </c>
      <c r="I95" s="132">
        <v>140825</v>
      </c>
      <c r="J95" s="120"/>
      <c r="K95" s="66">
        <f t="shared" si="28"/>
        <v>140825</v>
      </c>
      <c r="L95" s="65">
        <v>0</v>
      </c>
      <c r="M95" s="65"/>
      <c r="N95" s="65">
        <f t="shared" si="29"/>
        <v>0</v>
      </c>
      <c r="O95" s="132">
        <v>10803</v>
      </c>
      <c r="P95" s="120">
        <v>-10803</v>
      </c>
      <c r="Q95" s="66">
        <f t="shared" si="30"/>
        <v>0</v>
      </c>
      <c r="R95" s="132">
        <v>266919</v>
      </c>
      <c r="S95" s="120">
        <v>-258169</v>
      </c>
      <c r="T95" s="65">
        <f t="shared" si="31"/>
        <v>8750</v>
      </c>
      <c r="U95" s="132">
        <v>0</v>
      </c>
      <c r="V95" s="120">
        <v>0</v>
      </c>
      <c r="W95" s="66">
        <f t="shared" si="32"/>
        <v>0</v>
      </c>
      <c r="X95" s="132">
        <v>0</v>
      </c>
      <c r="Y95" s="65"/>
      <c r="Z95" s="65">
        <f t="shared" si="33"/>
        <v>0</v>
      </c>
      <c r="AA95" s="66">
        <v>5600</v>
      </c>
      <c r="AB95" s="66"/>
      <c r="AC95" s="66">
        <f t="shared" si="34"/>
        <v>5600</v>
      </c>
      <c r="AD95" s="65"/>
      <c r="AE95" s="65"/>
      <c r="AF95" s="65">
        <f t="shared" si="35"/>
        <v>0</v>
      </c>
      <c r="AG95" s="66"/>
      <c r="AH95" s="66"/>
      <c r="AI95" s="66">
        <f t="shared" si="36"/>
        <v>0</v>
      </c>
      <c r="AJ95" s="65"/>
      <c r="AK95" s="97"/>
      <c r="AL95" s="65">
        <f t="shared" si="37"/>
        <v>0</v>
      </c>
      <c r="AM95" s="66"/>
      <c r="AN95" s="66"/>
      <c r="AO95" s="66">
        <f t="shared" si="50"/>
        <v>0</v>
      </c>
    </row>
    <row r="96" spans="1:41" s="58" customFormat="1" ht="18.95" customHeight="1" x14ac:dyDescent="0.3">
      <c r="A96" s="70" t="s">
        <v>80</v>
      </c>
      <c r="B96" s="16"/>
      <c r="C96" s="28">
        <f>SUM(C92:C95)</f>
        <v>406526.5</v>
      </c>
      <c r="D96" s="28"/>
      <c r="E96" s="3"/>
      <c r="F96" s="28">
        <f>SUM(F92:F95)</f>
        <v>284047</v>
      </c>
      <c r="G96" s="28">
        <f>SUM(G92:G95)</f>
        <v>-170406.5</v>
      </c>
      <c r="H96" s="28">
        <f>SUM(H92:H95)</f>
        <v>113640.5</v>
      </c>
      <c r="I96" s="28">
        <f t="shared" ref="I96:AO96" si="51">SUM(I92:I95)</f>
        <v>177347</v>
      </c>
      <c r="J96" s="28">
        <f t="shared" si="51"/>
        <v>0</v>
      </c>
      <c r="K96" s="28">
        <f t="shared" si="51"/>
        <v>177347</v>
      </c>
      <c r="L96" s="28">
        <f t="shared" si="51"/>
        <v>0</v>
      </c>
      <c r="M96" s="28">
        <f t="shared" si="51"/>
        <v>0</v>
      </c>
      <c r="N96" s="28">
        <f t="shared" si="51"/>
        <v>0</v>
      </c>
      <c r="O96" s="28">
        <f t="shared" si="51"/>
        <v>22283</v>
      </c>
      <c r="P96" s="28">
        <f t="shared" si="51"/>
        <v>-10803</v>
      </c>
      <c r="Q96" s="28">
        <f t="shared" si="51"/>
        <v>11480</v>
      </c>
      <c r="R96" s="28">
        <f t="shared" si="51"/>
        <v>351628</v>
      </c>
      <c r="S96" s="28">
        <f t="shared" si="51"/>
        <v>-258169</v>
      </c>
      <c r="T96" s="28">
        <f t="shared" si="51"/>
        <v>93459</v>
      </c>
      <c r="U96" s="28">
        <f t="shared" si="51"/>
        <v>0</v>
      </c>
      <c r="V96" s="28">
        <f t="shared" si="51"/>
        <v>0</v>
      </c>
      <c r="W96" s="28">
        <f t="shared" si="51"/>
        <v>0</v>
      </c>
      <c r="X96" s="28">
        <f t="shared" si="51"/>
        <v>0</v>
      </c>
      <c r="Y96" s="28">
        <f t="shared" si="51"/>
        <v>0</v>
      </c>
      <c r="Z96" s="28">
        <f t="shared" si="51"/>
        <v>0</v>
      </c>
      <c r="AA96" s="28">
        <f t="shared" si="51"/>
        <v>10600</v>
      </c>
      <c r="AB96" s="28">
        <f t="shared" si="51"/>
        <v>0</v>
      </c>
      <c r="AC96" s="28">
        <f t="shared" si="51"/>
        <v>10600</v>
      </c>
      <c r="AD96" s="28">
        <f t="shared" si="51"/>
        <v>0</v>
      </c>
      <c r="AE96" s="28">
        <f t="shared" si="51"/>
        <v>0</v>
      </c>
      <c r="AF96" s="28">
        <f t="shared" si="51"/>
        <v>0</v>
      </c>
      <c r="AG96" s="28">
        <f t="shared" si="51"/>
        <v>0</v>
      </c>
      <c r="AH96" s="28">
        <f t="shared" si="51"/>
        <v>0</v>
      </c>
      <c r="AI96" s="28">
        <f t="shared" si="51"/>
        <v>0</v>
      </c>
      <c r="AJ96" s="28">
        <f t="shared" si="51"/>
        <v>0</v>
      </c>
      <c r="AK96" s="28">
        <f t="shared" si="51"/>
        <v>0</v>
      </c>
      <c r="AL96" s="28">
        <f t="shared" si="51"/>
        <v>0</v>
      </c>
      <c r="AM96" s="28">
        <f t="shared" si="51"/>
        <v>0</v>
      </c>
      <c r="AN96" s="28">
        <f t="shared" si="51"/>
        <v>0</v>
      </c>
      <c r="AO96" s="28">
        <f t="shared" si="51"/>
        <v>0</v>
      </c>
    </row>
    <row r="97" spans="1:42" s="58" customFormat="1" ht="18.95" customHeight="1" x14ac:dyDescent="0.3">
      <c r="A97" s="70" t="s">
        <v>81</v>
      </c>
      <c r="B97" s="16"/>
      <c r="C97" s="72">
        <f>C89+C96</f>
        <v>406526.5</v>
      </c>
      <c r="D97" s="28"/>
      <c r="E97" s="3"/>
      <c r="F97" s="72">
        <f>F89+F96</f>
        <v>284047</v>
      </c>
      <c r="G97" s="72">
        <f t="shared" ref="G97:AO97" si="52">G89+G96</f>
        <v>-170406.5</v>
      </c>
      <c r="H97" s="72">
        <f t="shared" si="52"/>
        <v>113640.5</v>
      </c>
      <c r="I97" s="72">
        <f t="shared" si="52"/>
        <v>177347</v>
      </c>
      <c r="J97" s="72">
        <f t="shared" si="52"/>
        <v>0</v>
      </c>
      <c r="K97" s="72">
        <f t="shared" si="52"/>
        <v>177347</v>
      </c>
      <c r="L97" s="72">
        <f t="shared" si="52"/>
        <v>0</v>
      </c>
      <c r="M97" s="72">
        <f t="shared" si="52"/>
        <v>0</v>
      </c>
      <c r="N97" s="72">
        <f t="shared" si="52"/>
        <v>0</v>
      </c>
      <c r="O97" s="72">
        <f>O89+O96</f>
        <v>22283</v>
      </c>
      <c r="P97" s="72">
        <f t="shared" si="52"/>
        <v>-10803</v>
      </c>
      <c r="Q97" s="72">
        <f t="shared" si="52"/>
        <v>11480</v>
      </c>
      <c r="R97" s="72">
        <f t="shared" si="52"/>
        <v>351628</v>
      </c>
      <c r="S97" s="72">
        <f t="shared" si="52"/>
        <v>-258169</v>
      </c>
      <c r="T97" s="72">
        <f t="shared" si="52"/>
        <v>93459</v>
      </c>
      <c r="U97" s="72">
        <f t="shared" si="52"/>
        <v>0</v>
      </c>
      <c r="V97" s="72">
        <f t="shared" si="52"/>
        <v>0</v>
      </c>
      <c r="W97" s="72">
        <f t="shared" si="52"/>
        <v>0</v>
      </c>
      <c r="X97" s="72">
        <f t="shared" si="52"/>
        <v>0</v>
      </c>
      <c r="Y97" s="72">
        <f t="shared" si="52"/>
        <v>0</v>
      </c>
      <c r="Z97" s="72">
        <f t="shared" si="52"/>
        <v>0</v>
      </c>
      <c r="AA97" s="72">
        <f t="shared" si="52"/>
        <v>10600</v>
      </c>
      <c r="AB97" s="72">
        <f t="shared" si="52"/>
        <v>0</v>
      </c>
      <c r="AC97" s="72">
        <f t="shared" si="52"/>
        <v>10600</v>
      </c>
      <c r="AD97" s="72">
        <f t="shared" si="52"/>
        <v>0</v>
      </c>
      <c r="AE97" s="72">
        <f t="shared" si="52"/>
        <v>0</v>
      </c>
      <c r="AF97" s="72">
        <f t="shared" si="52"/>
        <v>0</v>
      </c>
      <c r="AG97" s="72">
        <f t="shared" si="52"/>
        <v>0</v>
      </c>
      <c r="AH97" s="72">
        <f t="shared" si="52"/>
        <v>0</v>
      </c>
      <c r="AI97" s="72">
        <f t="shared" si="52"/>
        <v>0</v>
      </c>
      <c r="AJ97" s="72">
        <f t="shared" si="52"/>
        <v>0</v>
      </c>
      <c r="AK97" s="72">
        <f t="shared" si="52"/>
        <v>0</v>
      </c>
      <c r="AL97" s="72">
        <f t="shared" si="52"/>
        <v>0</v>
      </c>
      <c r="AM97" s="72">
        <f t="shared" si="52"/>
        <v>0</v>
      </c>
      <c r="AN97" s="72">
        <f t="shared" si="52"/>
        <v>0</v>
      </c>
      <c r="AO97" s="72">
        <f t="shared" si="52"/>
        <v>0</v>
      </c>
      <c r="AP97" s="3"/>
    </row>
    <row r="98" spans="1:42" s="58" customFormat="1" ht="18.95" customHeight="1" x14ac:dyDescent="0.3">
      <c r="A98" s="4"/>
      <c r="B98" s="16"/>
      <c r="C98" s="28"/>
      <c r="D98" s="28"/>
      <c r="E98" s="3"/>
      <c r="F98" s="28"/>
      <c r="G98" s="65"/>
      <c r="H98" s="65"/>
      <c r="I98" s="66"/>
      <c r="J98" s="66"/>
      <c r="K98" s="66"/>
      <c r="L98" s="65"/>
      <c r="M98" s="65"/>
      <c r="N98" s="65"/>
      <c r="O98" s="66"/>
      <c r="P98" s="66"/>
      <c r="Q98" s="66"/>
      <c r="R98" s="65"/>
      <c r="S98" s="65"/>
      <c r="T98" s="65"/>
      <c r="U98" s="66"/>
      <c r="V98" s="66"/>
      <c r="W98" s="66"/>
      <c r="X98" s="65"/>
      <c r="Y98" s="65"/>
      <c r="Z98" s="65"/>
      <c r="AA98" s="66"/>
      <c r="AB98" s="66"/>
      <c r="AC98" s="66"/>
      <c r="AD98" s="65"/>
      <c r="AE98" s="65"/>
      <c r="AF98" s="65"/>
      <c r="AG98" s="66"/>
      <c r="AH98" s="66"/>
      <c r="AI98" s="66"/>
      <c r="AJ98" s="65"/>
      <c r="AK98" s="65"/>
      <c r="AL98" s="65"/>
      <c r="AM98" s="66"/>
      <c r="AN98" s="66"/>
      <c r="AO98" s="66"/>
      <c r="AP98" s="3"/>
    </row>
    <row r="99" spans="1:42" s="58" customFormat="1" ht="18.95" customHeight="1" thickBot="1" x14ac:dyDescent="0.35">
      <c r="A99" s="4" t="s">
        <v>37</v>
      </c>
      <c r="B99" s="16"/>
      <c r="C99" s="17">
        <f>C84+C97</f>
        <v>4799961.5</v>
      </c>
      <c r="D99" s="28"/>
      <c r="E99" s="3"/>
      <c r="F99" s="17">
        <f>F84+F97</f>
        <v>2381541</v>
      </c>
      <c r="G99" s="17">
        <f t="shared" ref="G99:AO99" si="53">G84+G97</f>
        <v>-170406.5</v>
      </c>
      <c r="H99" s="17">
        <f t="shared" si="53"/>
        <v>2211134.5</v>
      </c>
      <c r="I99" s="17">
        <f t="shared" si="53"/>
        <v>490928</v>
      </c>
      <c r="J99" s="17">
        <f t="shared" si="53"/>
        <v>0</v>
      </c>
      <c r="K99" s="17">
        <f t="shared" si="53"/>
        <v>490928</v>
      </c>
      <c r="L99" s="17">
        <f t="shared" si="53"/>
        <v>0</v>
      </c>
      <c r="M99" s="17">
        <f t="shared" si="53"/>
        <v>0</v>
      </c>
      <c r="N99" s="17">
        <f t="shared" si="53"/>
        <v>0</v>
      </c>
      <c r="O99" s="17">
        <f>O84+O97</f>
        <v>344374</v>
      </c>
      <c r="P99" s="17">
        <f t="shared" si="53"/>
        <v>-10803</v>
      </c>
      <c r="Q99" s="17">
        <f t="shared" si="53"/>
        <v>333571</v>
      </c>
      <c r="R99" s="17">
        <f t="shared" si="53"/>
        <v>1638753</v>
      </c>
      <c r="S99" s="17">
        <f t="shared" si="53"/>
        <v>-258169</v>
      </c>
      <c r="T99" s="17">
        <f t="shared" si="53"/>
        <v>1380584</v>
      </c>
      <c r="U99" s="17">
        <f t="shared" si="53"/>
        <v>85382</v>
      </c>
      <c r="V99" s="17">
        <f t="shared" si="53"/>
        <v>0</v>
      </c>
      <c r="W99" s="17">
        <f t="shared" si="53"/>
        <v>85382</v>
      </c>
      <c r="X99" s="17">
        <f t="shared" si="53"/>
        <v>134294</v>
      </c>
      <c r="Y99" s="17">
        <f t="shared" si="53"/>
        <v>0</v>
      </c>
      <c r="Z99" s="17">
        <f t="shared" si="53"/>
        <v>134294</v>
      </c>
      <c r="AA99" s="17">
        <f t="shared" si="53"/>
        <v>120947</v>
      </c>
      <c r="AB99" s="17">
        <f t="shared" si="53"/>
        <v>0</v>
      </c>
      <c r="AC99" s="17">
        <f t="shared" si="53"/>
        <v>120947</v>
      </c>
      <c r="AD99" s="17">
        <f t="shared" si="53"/>
        <v>43121</v>
      </c>
      <c r="AE99" s="17">
        <f t="shared" si="53"/>
        <v>0</v>
      </c>
      <c r="AF99" s="17">
        <f t="shared" si="53"/>
        <v>43121</v>
      </c>
      <c r="AG99" s="17">
        <f t="shared" si="53"/>
        <v>0</v>
      </c>
      <c r="AH99" s="17">
        <f t="shared" si="53"/>
        <v>0</v>
      </c>
      <c r="AI99" s="17">
        <f t="shared" si="53"/>
        <v>0</v>
      </c>
      <c r="AJ99" s="17">
        <f t="shared" si="53"/>
        <v>0</v>
      </c>
      <c r="AK99" s="17">
        <f t="shared" si="53"/>
        <v>0</v>
      </c>
      <c r="AL99" s="17">
        <f t="shared" si="53"/>
        <v>0</v>
      </c>
      <c r="AM99" s="17">
        <f t="shared" si="53"/>
        <v>0</v>
      </c>
      <c r="AN99" s="17">
        <f t="shared" si="53"/>
        <v>0</v>
      </c>
      <c r="AO99" s="17">
        <f t="shared" si="53"/>
        <v>0</v>
      </c>
      <c r="AP99" s="3"/>
    </row>
    <row r="100" spans="1:42" s="58" customFormat="1" ht="15.75" thickTop="1" x14ac:dyDescent="0.2">
      <c r="A100" s="3"/>
      <c r="B100" s="3"/>
      <c r="C100" s="73">
        <f>C74-C99</f>
        <v>2.400000000372529</v>
      </c>
      <c r="D100" s="50"/>
      <c r="E100" s="3"/>
      <c r="F100" s="73">
        <f>F74-F99</f>
        <v>0</v>
      </c>
      <c r="G100" s="73">
        <f t="shared" ref="G100:AO100" si="54">G74-G99</f>
        <v>59603.399999999994</v>
      </c>
      <c r="H100" s="73">
        <f t="shared" si="54"/>
        <v>59603.399999999907</v>
      </c>
      <c r="I100" s="73">
        <f t="shared" si="54"/>
        <v>1</v>
      </c>
      <c r="J100" s="73">
        <f t="shared" si="54"/>
        <v>-162656</v>
      </c>
      <c r="K100" s="73">
        <f t="shared" si="54"/>
        <v>-162655</v>
      </c>
      <c r="L100" s="73">
        <f t="shared" si="54"/>
        <v>0</v>
      </c>
      <c r="M100" s="73">
        <f t="shared" si="54"/>
        <v>0</v>
      </c>
      <c r="N100" s="73">
        <f t="shared" si="54"/>
        <v>0</v>
      </c>
      <c r="O100" s="73">
        <f t="shared" si="54"/>
        <v>0</v>
      </c>
      <c r="P100" s="73">
        <f t="shared" si="54"/>
        <v>-147366</v>
      </c>
      <c r="Q100" s="73">
        <f t="shared" si="54"/>
        <v>-147366</v>
      </c>
      <c r="R100" s="73">
        <f t="shared" si="54"/>
        <v>1</v>
      </c>
      <c r="S100" s="73">
        <f t="shared" si="54"/>
        <v>256419</v>
      </c>
      <c r="T100" s="73">
        <f t="shared" si="54"/>
        <v>256420</v>
      </c>
      <c r="U100" s="73">
        <f t="shared" si="54"/>
        <v>0</v>
      </c>
      <c r="V100" s="73">
        <f t="shared" si="54"/>
        <v>0</v>
      </c>
      <c r="W100" s="73">
        <f t="shared" si="54"/>
        <v>0</v>
      </c>
      <c r="X100" s="73">
        <f t="shared" si="54"/>
        <v>0</v>
      </c>
      <c r="Y100" s="73">
        <f t="shared" si="54"/>
        <v>0</v>
      </c>
      <c r="Z100" s="73">
        <f t="shared" si="54"/>
        <v>0</v>
      </c>
      <c r="AA100" s="73">
        <f t="shared" si="54"/>
        <v>0</v>
      </c>
      <c r="AB100" s="73">
        <f t="shared" si="54"/>
        <v>-6000</v>
      </c>
      <c r="AC100" s="73">
        <f t="shared" si="54"/>
        <v>-6000</v>
      </c>
      <c r="AD100" s="73">
        <f t="shared" si="54"/>
        <v>0</v>
      </c>
      <c r="AE100" s="73">
        <f t="shared" si="54"/>
        <v>0</v>
      </c>
      <c r="AF100" s="73">
        <f t="shared" si="54"/>
        <v>0</v>
      </c>
      <c r="AG100" s="73">
        <f t="shared" si="54"/>
        <v>0</v>
      </c>
      <c r="AH100" s="73">
        <f t="shared" si="54"/>
        <v>0</v>
      </c>
      <c r="AI100" s="73">
        <f t="shared" si="54"/>
        <v>0</v>
      </c>
      <c r="AJ100" s="73">
        <f t="shared" si="54"/>
        <v>0</v>
      </c>
      <c r="AK100" s="73">
        <f t="shared" si="54"/>
        <v>0</v>
      </c>
      <c r="AL100" s="73">
        <f t="shared" si="54"/>
        <v>0</v>
      </c>
      <c r="AM100" s="73">
        <f t="shared" si="54"/>
        <v>0</v>
      </c>
      <c r="AN100" s="73">
        <f t="shared" si="54"/>
        <v>0</v>
      </c>
      <c r="AO100" s="73">
        <f t="shared" si="54"/>
        <v>0</v>
      </c>
      <c r="AP100" s="51"/>
    </row>
    <row r="101" spans="1:42" s="58" customFormat="1" x14ac:dyDescent="0.2">
      <c r="A101" s="3"/>
      <c r="B101" s="3"/>
      <c r="C101" s="50"/>
      <c r="D101" s="50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 t="s">
        <v>163</v>
      </c>
      <c r="AO101" s="51">
        <f>SUM(F100:AO100)</f>
        <v>4.7999999999301508</v>
      </c>
      <c r="AP101" s="3"/>
    </row>
    <row r="102" spans="1:42" s="58" customFormat="1" x14ac:dyDescent="0.2">
      <c r="A102" s="3"/>
      <c r="B102" s="3"/>
      <c r="C102" s="51"/>
      <c r="D102" s="52"/>
      <c r="E102" s="3"/>
      <c r="F102" s="3"/>
      <c r="G102" s="51">
        <f>SUM(G100)</f>
        <v>59603.399999999994</v>
      </c>
      <c r="H102" s="51"/>
      <c r="I102" s="51"/>
      <c r="J102" s="51">
        <f t="shared" ref="J102:AB102" si="55">SUM(J100)</f>
        <v>-162656</v>
      </c>
      <c r="K102" s="51"/>
      <c r="L102" s="51"/>
      <c r="M102" s="51">
        <f t="shared" si="55"/>
        <v>0</v>
      </c>
      <c r="N102" s="51"/>
      <c r="O102" s="51"/>
      <c r="P102" s="51">
        <f t="shared" si="55"/>
        <v>-147366</v>
      </c>
      <c r="Q102" s="51"/>
      <c r="R102" s="51"/>
      <c r="S102" s="51">
        <f t="shared" si="55"/>
        <v>256419</v>
      </c>
      <c r="T102" s="51"/>
      <c r="U102" s="51"/>
      <c r="V102" s="51">
        <f t="shared" si="55"/>
        <v>0</v>
      </c>
      <c r="W102" s="51"/>
      <c r="X102" s="51"/>
      <c r="Y102" s="51">
        <f t="shared" si="55"/>
        <v>0</v>
      </c>
      <c r="Z102" s="51"/>
      <c r="AA102" s="51"/>
      <c r="AB102" s="51">
        <f t="shared" si="55"/>
        <v>-6000</v>
      </c>
      <c r="AC102" s="51"/>
      <c r="AD102" s="3"/>
      <c r="AE102" s="51">
        <f t="shared" ref="AE102" si="56">SUM(AE100)</f>
        <v>0</v>
      </c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2" s="58" customFormat="1" x14ac:dyDescent="0.2">
      <c r="A103" s="15" t="s">
        <v>165</v>
      </c>
      <c r="B103" s="154"/>
      <c r="C103" s="154"/>
      <c r="D103" s="56"/>
      <c r="E103" s="51"/>
      <c r="F103" s="51">
        <f>SUM(G102:AE102)</f>
        <v>0.39999999999417923</v>
      </c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 s="58" customFormat="1" x14ac:dyDescent="0.2">
      <c r="A104" s="15" t="s">
        <v>166</v>
      </c>
      <c r="B104" s="3"/>
      <c r="C104" s="15"/>
      <c r="D104" s="12"/>
      <c r="E104" s="3"/>
      <c r="F104" s="3"/>
      <c r="G104" s="3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 s="58" customFormat="1" x14ac:dyDescent="0.2">
      <c r="A105" s="15"/>
      <c r="B105" s="3"/>
      <c r="C105" s="15"/>
      <c r="D105" s="12"/>
      <c r="E105" s="3"/>
      <c r="F105" s="51"/>
      <c r="G105" s="3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1:42" s="58" customFormat="1" x14ac:dyDescent="0.2">
      <c r="A106" s="15"/>
      <c r="B106" s="3"/>
      <c r="C106" s="15"/>
      <c r="D106" s="1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2" s="58" customFormat="1" x14ac:dyDescent="0.2">
      <c r="A107" s="15"/>
      <c r="B107" s="3"/>
      <c r="C107" s="15"/>
      <c r="D107" s="1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1:42" s="58" customFormat="1" ht="15.75" x14ac:dyDescent="0.25">
      <c r="A108" s="71" t="s">
        <v>130</v>
      </c>
      <c r="B108" s="3"/>
      <c r="C108" s="15"/>
      <c r="D108" s="1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1:42" s="58" customFormat="1" x14ac:dyDescent="0.2">
      <c r="A109" s="15" t="s">
        <v>131</v>
      </c>
      <c r="B109" s="154"/>
      <c r="C109" s="102">
        <f>F109+I109+L109+O109+R109+U109+X109+AA109+AD109+AG109+AJ109+AM109</f>
        <v>392007.17000000004</v>
      </c>
      <c r="D109" s="56"/>
      <c r="E109" s="3"/>
      <c r="F109" s="3">
        <f>389510.32+32500.02-30003.17</f>
        <v>392007.17000000004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1:42" s="58" customFormat="1" x14ac:dyDescent="0.2">
      <c r="A110" s="15" t="s">
        <v>132</v>
      </c>
      <c r="B110" s="154"/>
      <c r="C110" s="102">
        <f>F110+I110+L110+O110+R110+U110+X110+AA110+AD110+AG110+AJ110+AM110</f>
        <v>0</v>
      </c>
      <c r="D110" s="56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1:42" s="58" customFormat="1" x14ac:dyDescent="0.2">
      <c r="A111" s="15" t="s">
        <v>133</v>
      </c>
      <c r="B111" s="154"/>
      <c r="C111" s="102">
        <f t="shared" ref="C111:C123" si="57">F111+I111+L111+O111+R111+U111+X111+AA111+AD111+AG111+AJ111+AM111</f>
        <v>15265</v>
      </c>
      <c r="D111" s="56"/>
      <c r="E111" s="3"/>
      <c r="F111" s="3">
        <v>15265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1:42" s="58" customFormat="1" x14ac:dyDescent="0.2">
      <c r="A112" s="15" t="s">
        <v>134</v>
      </c>
      <c r="B112" s="154"/>
      <c r="C112" s="102">
        <f t="shared" si="57"/>
        <v>32745</v>
      </c>
      <c r="D112" s="56"/>
      <c r="E112" s="3"/>
      <c r="F112" s="3">
        <f>7590+25155</f>
        <v>32745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1:27" s="58" customFormat="1" x14ac:dyDescent="0.2">
      <c r="A113" s="15" t="s">
        <v>146</v>
      </c>
      <c r="B113" s="154"/>
      <c r="C113" s="102">
        <f t="shared" si="57"/>
        <v>0</v>
      </c>
      <c r="D113" s="56"/>
    </row>
    <row r="114" spans="1:27" s="58" customFormat="1" x14ac:dyDescent="0.2">
      <c r="A114" s="15" t="s">
        <v>180</v>
      </c>
      <c r="B114" s="154"/>
      <c r="C114" s="102">
        <f t="shared" si="57"/>
        <v>0</v>
      </c>
      <c r="D114" s="56"/>
      <c r="F114" s="58">
        <v>0</v>
      </c>
    </row>
    <row r="115" spans="1:27" s="58" customFormat="1" x14ac:dyDescent="0.2">
      <c r="A115" s="15" t="s">
        <v>135</v>
      </c>
      <c r="B115" s="154"/>
      <c r="C115" s="102">
        <f t="shared" si="57"/>
        <v>115858</v>
      </c>
      <c r="D115" s="56"/>
      <c r="I115" s="58">
        <v>32062</v>
      </c>
      <c r="O115" s="58">
        <v>45014</v>
      </c>
      <c r="R115" s="58">
        <v>38782</v>
      </c>
    </row>
    <row r="116" spans="1:27" s="58" customFormat="1" x14ac:dyDescent="0.2">
      <c r="A116" s="15" t="s">
        <v>136</v>
      </c>
      <c r="B116" s="154"/>
      <c r="C116" s="102">
        <f t="shared" si="57"/>
        <v>135375</v>
      </c>
      <c r="D116" s="56"/>
      <c r="O116" s="58">
        <v>97500</v>
      </c>
      <c r="U116" s="58">
        <v>32875</v>
      </c>
      <c r="X116" s="58">
        <v>0</v>
      </c>
      <c r="AA116" s="58">
        <v>5000</v>
      </c>
    </row>
    <row r="117" spans="1:27" s="58" customFormat="1" x14ac:dyDescent="0.2">
      <c r="A117" s="15" t="s">
        <v>143</v>
      </c>
      <c r="B117" s="154"/>
      <c r="C117" s="102">
        <f t="shared" si="57"/>
        <v>45407.42</v>
      </c>
      <c r="D117" s="56"/>
      <c r="F117" s="155">
        <v>45407.42</v>
      </c>
    </row>
    <row r="118" spans="1:27" s="58" customFormat="1" x14ac:dyDescent="0.2">
      <c r="A118" s="15" t="s">
        <v>140</v>
      </c>
      <c r="B118" s="154"/>
      <c r="C118" s="102">
        <f t="shared" si="57"/>
        <v>32772.79</v>
      </c>
      <c r="D118" s="56"/>
      <c r="F118" s="155">
        <f>29866.7+2906.09</f>
        <v>32772.79</v>
      </c>
    </row>
    <row r="119" spans="1:27" s="58" customFormat="1" x14ac:dyDescent="0.2">
      <c r="A119" s="15" t="s">
        <v>137</v>
      </c>
      <c r="B119" s="154"/>
      <c r="C119" s="102">
        <f t="shared" si="57"/>
        <v>21216</v>
      </c>
      <c r="D119" s="56"/>
      <c r="O119" s="58">
        <v>21216</v>
      </c>
    </row>
    <row r="120" spans="1:27" s="58" customFormat="1" x14ac:dyDescent="0.2">
      <c r="A120" s="15" t="s">
        <v>138</v>
      </c>
      <c r="B120" s="154"/>
      <c r="C120" s="102">
        <f t="shared" si="57"/>
        <v>73422</v>
      </c>
      <c r="D120" s="56"/>
      <c r="O120" s="58">
        <v>73422</v>
      </c>
    </row>
    <row r="121" spans="1:27" s="58" customFormat="1" x14ac:dyDescent="0.2">
      <c r="A121" s="15" t="s">
        <v>144</v>
      </c>
      <c r="B121" s="154"/>
      <c r="C121" s="102">
        <f t="shared" si="57"/>
        <v>0</v>
      </c>
      <c r="D121" s="56"/>
    </row>
    <row r="122" spans="1:27" s="58" customFormat="1" x14ac:dyDescent="0.2">
      <c r="A122" s="15" t="s">
        <v>139</v>
      </c>
      <c r="B122" s="2"/>
      <c r="C122" s="102">
        <f t="shared" si="57"/>
        <v>119000</v>
      </c>
      <c r="D122" s="57"/>
      <c r="R122" s="58">
        <v>119000</v>
      </c>
    </row>
    <row r="123" spans="1:27" s="58" customFormat="1" x14ac:dyDescent="0.2">
      <c r="A123" s="15" t="s">
        <v>141</v>
      </c>
      <c r="B123" s="2"/>
      <c r="C123" s="102">
        <f t="shared" si="57"/>
        <v>27059.200000000001</v>
      </c>
      <c r="D123" s="57"/>
      <c r="F123" s="155">
        <f>2437.2+24622</f>
        <v>27059.200000000001</v>
      </c>
      <c r="O123" s="58">
        <v>0</v>
      </c>
    </row>
    <row r="124" spans="1:27" s="58" customFormat="1" x14ac:dyDescent="0.2">
      <c r="A124" s="3"/>
      <c r="B124" s="2"/>
      <c r="C124" s="103"/>
      <c r="D124" s="57"/>
    </row>
    <row r="125" spans="1:27" s="58" customFormat="1" x14ac:dyDescent="0.2">
      <c r="A125" s="3" t="s">
        <v>142</v>
      </c>
      <c r="B125" s="2"/>
      <c r="C125" s="103">
        <f>SUM(C109:C124)</f>
        <v>1010127.5800000001</v>
      </c>
      <c r="D125" s="57"/>
      <c r="F125" s="103">
        <f>SUM(F109:F124)</f>
        <v>545256.57999999996</v>
      </c>
      <c r="I125" s="103"/>
      <c r="O125" s="103"/>
      <c r="R125" s="103"/>
    </row>
    <row r="126" spans="1:27" s="58" customFormat="1" x14ac:dyDescent="0.2">
      <c r="A126" s="3"/>
      <c r="B126" s="2"/>
      <c r="C126" s="2"/>
      <c r="D126" s="57"/>
    </row>
    <row r="127" spans="1:27" s="58" customFormat="1" x14ac:dyDescent="0.2">
      <c r="A127" s="3"/>
      <c r="B127" s="2"/>
      <c r="C127" s="2"/>
      <c r="D127" s="57"/>
    </row>
    <row r="128" spans="1:27" s="58" customFormat="1" x14ac:dyDescent="0.2">
      <c r="A128" s="3"/>
      <c r="B128" s="2"/>
      <c r="C128" s="2"/>
      <c r="D128" s="57"/>
    </row>
    <row r="129" spans="1:27" s="58" customFormat="1" x14ac:dyDescent="0.2">
      <c r="A129" s="3" t="s">
        <v>155</v>
      </c>
      <c r="B129" s="2"/>
      <c r="C129" s="102">
        <f>F129+I129+L129+O129+R129+U129+X129+AA129+AD129+AG129+AJ129+AM129</f>
        <v>0</v>
      </c>
      <c r="D129" s="57"/>
    </row>
    <row r="130" spans="1:27" s="58" customFormat="1" x14ac:dyDescent="0.2">
      <c r="A130" s="3"/>
      <c r="B130" s="2"/>
      <c r="C130" s="2"/>
      <c r="D130" s="57"/>
      <c r="F130" s="127">
        <f>F125-F27</f>
        <v>-0.42000000004190952</v>
      </c>
      <c r="I130" s="127">
        <f>I27-I109-I110-I111-I112-I113-I114-I115-I116-I117-I118-I119-I120-I121-I122-I123-I124-I125-I126-I127</f>
        <v>0</v>
      </c>
      <c r="L130" s="127">
        <f>L27-L109-L110-L111-L112-L113-L114-L115-L116-L117-L118-L119-L120-L121-L122-L123-L124-L125-L126-L127</f>
        <v>0</v>
      </c>
      <c r="O130" s="127">
        <f>O27-O109-O110-O111-O112-O113-O114-O115-O116-O117-O118-O119-O120-O121-O122-O123-O124-O125-O126-O127</f>
        <v>0</v>
      </c>
      <c r="R130" s="127">
        <f>R27-R109-R110-R111-R112-R113-R114-R115-R116-R117-R118-R119-R120-R121-R122-R123-R124-R125-R126-R127</f>
        <v>0</v>
      </c>
      <c r="U130" s="127">
        <f>U27-U109-U110-U111-U112-U113-U114-U115-U116-U117-U118-U119-U120-U121-U122-U123-U124-U125-U126-U127</f>
        <v>0</v>
      </c>
      <c r="X130" s="127">
        <f>X27-X109-X110-X111-X112-X113-X114-X115-X116-X117-X118-X119-X120-X121-X122-X123-X124-X125-X126-X127</f>
        <v>0</v>
      </c>
      <c r="AA130" s="127">
        <f>AA27-AA109-AA110-AA111-AA112-AA113-AA114-AA115-AA116-AA117-AA118-AA119-AA120-AA121-AA122-AA123-AA124-AA125-AA126-AA127</f>
        <v>0</v>
      </c>
    </row>
    <row r="131" spans="1:27" s="58" customFormat="1" x14ac:dyDescent="0.2">
      <c r="A131" s="3"/>
      <c r="B131" s="2"/>
      <c r="C131" s="2"/>
      <c r="D131" s="57"/>
      <c r="F131" s="149"/>
    </row>
    <row r="132" spans="1:27" s="58" customFormat="1" x14ac:dyDescent="0.2">
      <c r="A132" s="3"/>
      <c r="B132" s="2"/>
      <c r="C132" s="2"/>
      <c r="D132" s="57"/>
    </row>
    <row r="133" spans="1:27" s="58" customFormat="1" x14ac:dyDescent="0.2">
      <c r="A133" s="3"/>
      <c r="B133" s="2"/>
      <c r="C133" s="2"/>
      <c r="D133" s="57"/>
    </row>
    <row r="134" spans="1:27" s="58" customFormat="1" x14ac:dyDescent="0.2">
      <c r="A134" s="3"/>
      <c r="B134" s="2"/>
      <c r="C134" s="2"/>
      <c r="D134" s="57"/>
    </row>
    <row r="135" spans="1:27" s="58" customFormat="1" x14ac:dyDescent="0.2">
      <c r="A135" s="3"/>
      <c r="B135" s="2"/>
      <c r="C135" s="2"/>
      <c r="D135" s="57"/>
    </row>
    <row r="136" spans="1:27" s="58" customFormat="1" x14ac:dyDescent="0.2">
      <c r="A136" s="3"/>
      <c r="B136" s="2"/>
      <c r="C136" s="2"/>
      <c r="D136" s="57"/>
    </row>
    <row r="137" spans="1:27" s="58" customFormat="1" x14ac:dyDescent="0.2">
      <c r="A137" s="3"/>
      <c r="B137" s="2"/>
      <c r="C137" s="2"/>
      <c r="D137" s="2"/>
    </row>
    <row r="138" spans="1:27" s="58" customFormat="1" x14ac:dyDescent="0.2">
      <c r="A138" s="3"/>
      <c r="B138" s="2"/>
      <c r="C138" s="2"/>
      <c r="D138" s="2"/>
    </row>
    <row r="139" spans="1:27" s="58" customFormat="1" x14ac:dyDescent="0.2">
      <c r="A139" s="3"/>
      <c r="B139" s="2"/>
      <c r="C139" s="2"/>
      <c r="D139" s="2"/>
    </row>
    <row r="140" spans="1:27" s="58" customFormat="1" x14ac:dyDescent="0.2">
      <c r="A140" s="3"/>
      <c r="B140" s="2"/>
      <c r="C140" s="2"/>
      <c r="D140" s="2"/>
    </row>
    <row r="141" spans="1:27" s="58" customFormat="1" x14ac:dyDescent="0.2">
      <c r="A141" s="3"/>
      <c r="B141" s="2"/>
      <c r="C141" s="2"/>
      <c r="D141" s="2"/>
    </row>
    <row r="142" spans="1:27" s="58" customFormat="1" x14ac:dyDescent="0.2">
      <c r="A142" s="3"/>
      <c r="B142" s="2"/>
      <c r="C142" s="2"/>
      <c r="D142" s="2"/>
    </row>
    <row r="143" spans="1:27" s="58" customFormat="1" x14ac:dyDescent="0.2">
      <c r="A143" s="3"/>
      <c r="B143" s="2"/>
      <c r="C143" s="2"/>
      <c r="D143" s="2"/>
    </row>
    <row r="144" spans="1:27" s="58" customFormat="1" x14ac:dyDescent="0.2">
      <c r="A144" s="3"/>
      <c r="B144" s="2"/>
      <c r="C144" s="2"/>
      <c r="D144" s="2"/>
    </row>
    <row r="145" spans="2:4" s="58" customFormat="1" x14ac:dyDescent="0.2">
      <c r="B145" s="2"/>
      <c r="C145" s="2"/>
      <c r="D145" s="2"/>
    </row>
    <row r="146" spans="2:4" s="58" customFormat="1" x14ac:dyDescent="0.2">
      <c r="B146" s="2"/>
      <c r="C146" s="2"/>
      <c r="D146" s="2"/>
    </row>
    <row r="147" spans="2:4" s="58" customFormat="1" x14ac:dyDescent="0.2">
      <c r="B147" s="2"/>
      <c r="C147" s="2"/>
      <c r="D147" s="2"/>
    </row>
    <row r="148" spans="2:4" s="58" customFormat="1" x14ac:dyDescent="0.2">
      <c r="B148" s="2"/>
      <c r="C148" s="2"/>
      <c r="D148" s="2"/>
    </row>
    <row r="149" spans="2:4" s="58" customFormat="1" x14ac:dyDescent="0.2">
      <c r="B149" s="2"/>
      <c r="C149" s="2"/>
      <c r="D149" s="2"/>
    </row>
    <row r="150" spans="2:4" s="58" customFormat="1" x14ac:dyDescent="0.2">
      <c r="B150" s="2"/>
      <c r="C150" s="2"/>
      <c r="D150" s="2"/>
    </row>
    <row r="151" spans="2:4" s="58" customFormat="1" x14ac:dyDescent="0.2">
      <c r="B151" s="2"/>
      <c r="C151" s="2"/>
      <c r="D151" s="2"/>
    </row>
    <row r="152" spans="2:4" s="58" customFormat="1" x14ac:dyDescent="0.2">
      <c r="B152" s="2"/>
      <c r="C152" s="2"/>
      <c r="D152" s="2"/>
    </row>
    <row r="153" spans="2:4" s="58" customFormat="1" x14ac:dyDescent="0.2">
      <c r="B153" s="2"/>
      <c r="C153" s="2"/>
      <c r="D153" s="2"/>
    </row>
    <row r="154" spans="2:4" s="58" customFormat="1" x14ac:dyDescent="0.2">
      <c r="B154" s="2"/>
      <c r="C154" s="2"/>
      <c r="D154" s="2"/>
    </row>
    <row r="155" spans="2:4" s="58" customFormat="1" x14ac:dyDescent="0.2">
      <c r="B155" s="2"/>
      <c r="C155" s="2"/>
      <c r="D155" s="2"/>
    </row>
    <row r="156" spans="2:4" s="58" customFormat="1" x14ac:dyDescent="0.2">
      <c r="B156" s="2"/>
      <c r="C156" s="2"/>
      <c r="D156" s="2"/>
    </row>
    <row r="157" spans="2:4" s="58" customFormat="1" x14ac:dyDescent="0.2">
      <c r="B157" s="2"/>
      <c r="C157" s="2"/>
      <c r="D157" s="2"/>
    </row>
    <row r="158" spans="2:4" s="58" customFormat="1" x14ac:dyDescent="0.2">
      <c r="B158" s="2"/>
      <c r="C158" s="2"/>
      <c r="D158" s="2"/>
    </row>
    <row r="159" spans="2:4" s="58" customFormat="1" x14ac:dyDescent="0.2">
      <c r="B159" s="2"/>
      <c r="C159" s="2"/>
      <c r="D159" s="2"/>
    </row>
    <row r="160" spans="2:4" s="58" customFormat="1" x14ac:dyDescent="0.2">
      <c r="B160" s="2"/>
      <c r="C160" s="2"/>
      <c r="D160" s="2"/>
    </row>
    <row r="161" spans="2:4" s="58" customFormat="1" x14ac:dyDescent="0.2">
      <c r="B161" s="2"/>
      <c r="C161" s="2"/>
      <c r="D161" s="2"/>
    </row>
    <row r="162" spans="2:4" s="58" customFormat="1" x14ac:dyDescent="0.2">
      <c r="B162" s="2"/>
      <c r="C162" s="2"/>
      <c r="D162" s="2"/>
    </row>
    <row r="163" spans="2:4" s="58" customFormat="1" x14ac:dyDescent="0.2">
      <c r="B163" s="2"/>
      <c r="C163" s="2"/>
      <c r="D163" s="2"/>
    </row>
    <row r="164" spans="2:4" s="58" customFormat="1" x14ac:dyDescent="0.2">
      <c r="B164" s="2"/>
      <c r="C164" s="2"/>
      <c r="D164" s="2"/>
    </row>
  </sheetData>
  <mergeCells count="12">
    <mergeCell ref="AM3:AO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</mergeCells>
  <printOptions horizontalCentered="1"/>
  <pageMargins left="0.19685039370078741" right="3.937007874015748E-2" top="0.19685039370078741" bottom="0.19685039370078741" header="0" footer="0"/>
  <pageSetup paperSize="9" scale="35" firstPageNumber="2" orientation="landscape" cellComments="asDisplayed" r:id="rId1"/>
  <headerFooter alignWithMargins="0"/>
  <colBreaks count="2" manualBreakCount="2">
    <brk id="14" max="100" man="1"/>
    <brk id="29" max="10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6B88-56B2-4EAD-8683-B75A195DA0AF}">
  <sheetPr>
    <pageSetUpPr fitToPage="1"/>
  </sheetPr>
  <dimension ref="A1:IA164"/>
  <sheetViews>
    <sheetView zoomScaleNormal="100" workbookViewId="0">
      <pane xSplit="2" ySplit="4" topLeftCell="U5" activePane="bottomRight" state="frozen"/>
      <selection pane="topRight" activeCell="C1" sqref="C1"/>
      <selection pane="bottomLeft" activeCell="A5" sqref="A5"/>
      <selection pane="bottomRight" activeCell="W6" sqref="W6"/>
    </sheetView>
  </sheetViews>
  <sheetFormatPr baseColWidth="10" defaultColWidth="12.42578125" defaultRowHeight="15" x14ac:dyDescent="0.2"/>
  <cols>
    <col min="1" max="1" width="44.7109375" style="3" customWidth="1"/>
    <col min="2" max="2" width="9" style="3" hidden="1" customWidth="1"/>
    <col min="3" max="3" width="16.28515625" style="3" customWidth="1"/>
    <col min="4" max="4" width="16.28515625" style="3" hidden="1" customWidth="1"/>
    <col min="5" max="5" width="12.42578125" style="3" customWidth="1"/>
    <col min="6" max="6" width="14.85546875" style="3" customWidth="1"/>
    <col min="7" max="7" width="15.85546875" style="3" customWidth="1"/>
    <col min="8" max="8" width="14.85546875" style="3" customWidth="1"/>
    <col min="9" max="9" width="15.5703125" style="3" bestFit="1" customWidth="1"/>
    <col min="10" max="10" width="15.85546875" style="3" customWidth="1"/>
    <col min="11" max="11" width="14" style="3" bestFit="1" customWidth="1"/>
    <col min="12" max="12" width="14.85546875" style="3" hidden="1" customWidth="1"/>
    <col min="13" max="13" width="10.85546875" style="3" hidden="1" customWidth="1"/>
    <col min="14" max="14" width="14.85546875" style="3" hidden="1" customWidth="1"/>
    <col min="15" max="15" width="14.85546875" style="3" customWidth="1"/>
    <col min="16" max="16" width="13" style="3" customWidth="1"/>
    <col min="17" max="17" width="14.85546875" style="3" customWidth="1"/>
    <col min="18" max="20" width="13.42578125" style="3" customWidth="1"/>
    <col min="21" max="21" width="13.42578125" style="3" bestFit="1" customWidth="1"/>
    <col min="22" max="22" width="10.85546875" style="3" bestFit="1" customWidth="1"/>
    <col min="23" max="23" width="13.42578125" style="3" bestFit="1" customWidth="1"/>
    <col min="24" max="24" width="12.5703125" style="3" bestFit="1" customWidth="1"/>
    <col min="25" max="25" width="10.85546875" style="3" bestFit="1" customWidth="1"/>
    <col min="26" max="26" width="12.5703125" style="3" bestFit="1" customWidth="1"/>
    <col min="27" max="27" width="11.5703125" style="3" bestFit="1" customWidth="1"/>
    <col min="28" max="28" width="10.85546875" style="3" bestFit="1" customWidth="1"/>
    <col min="29" max="29" width="16" style="3" customWidth="1"/>
    <col min="30" max="30" width="10.5703125" style="3" customWidth="1"/>
    <col min="31" max="31" width="9" style="3" customWidth="1"/>
    <col min="32" max="32" width="12.140625" style="3" customWidth="1"/>
    <col min="33" max="41" width="9" style="3" hidden="1" customWidth="1"/>
    <col min="42" max="43" width="33" style="3" customWidth="1"/>
    <col min="44" max="235" width="12.42578125" style="3" customWidth="1"/>
    <col min="236" max="16384" width="12.42578125" style="58"/>
  </cols>
  <sheetData>
    <row r="1" spans="1:41" s="58" customFormat="1" ht="30" x14ac:dyDescent="0.4">
      <c r="A1" s="1" t="s">
        <v>39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s="58" customFormat="1" ht="6.95" customHeight="1" x14ac:dyDescent="0.2">
      <c r="A2" s="3"/>
      <c r="B2" s="2"/>
      <c r="C2" s="2"/>
      <c r="D2" s="2"/>
      <c r="E2" s="3"/>
      <c r="F2" s="3"/>
      <c r="G2" s="3"/>
      <c r="H2" s="3"/>
      <c r="I2" s="3"/>
      <c r="J2" s="123"/>
      <c r="K2" s="3"/>
      <c r="L2" s="3"/>
      <c r="M2" s="3"/>
      <c r="N2" s="3"/>
      <c r="O2" s="3"/>
      <c r="P2" s="123"/>
      <c r="Q2" s="3"/>
      <c r="R2" s="3"/>
      <c r="S2" s="12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s="58" customFormat="1" x14ac:dyDescent="0.2">
      <c r="A3" s="4" t="s">
        <v>0</v>
      </c>
      <c r="B3" s="156"/>
      <c r="C3" s="156"/>
      <c r="D3" s="156"/>
      <c r="E3" s="3"/>
      <c r="F3" s="162" t="s">
        <v>41</v>
      </c>
      <c r="G3" s="162"/>
      <c r="H3" s="162"/>
      <c r="I3" s="163" t="s">
        <v>45</v>
      </c>
      <c r="J3" s="163"/>
      <c r="K3" s="163"/>
      <c r="L3" s="162" t="s">
        <v>172</v>
      </c>
      <c r="M3" s="162"/>
      <c r="N3" s="162"/>
      <c r="O3" s="163" t="s">
        <v>43</v>
      </c>
      <c r="P3" s="163"/>
      <c r="Q3" s="163"/>
      <c r="R3" s="162" t="s">
        <v>44</v>
      </c>
      <c r="S3" s="162"/>
      <c r="T3" s="162"/>
      <c r="U3" s="163" t="s">
        <v>51</v>
      </c>
      <c r="V3" s="163"/>
      <c r="W3" s="163"/>
      <c r="X3" s="162" t="s">
        <v>161</v>
      </c>
      <c r="Y3" s="162"/>
      <c r="Z3" s="162"/>
      <c r="AA3" s="163" t="s">
        <v>48</v>
      </c>
      <c r="AB3" s="163"/>
      <c r="AC3" s="163"/>
      <c r="AD3" s="162" t="s">
        <v>49</v>
      </c>
      <c r="AE3" s="162"/>
      <c r="AF3" s="162"/>
      <c r="AG3" s="163"/>
      <c r="AH3" s="163"/>
      <c r="AI3" s="163"/>
      <c r="AJ3" s="162"/>
      <c r="AK3" s="162"/>
      <c r="AL3" s="162"/>
      <c r="AM3" s="163"/>
      <c r="AN3" s="163"/>
      <c r="AO3" s="163"/>
    </row>
    <row r="4" spans="1:41" s="58" customFormat="1" x14ac:dyDescent="0.2">
      <c r="A4" s="6" t="s">
        <v>1</v>
      </c>
      <c r="B4" s="156"/>
      <c r="C4" s="7">
        <v>2022</v>
      </c>
      <c r="D4" s="8" t="s">
        <v>2</v>
      </c>
      <c r="E4" s="3"/>
      <c r="F4" s="62">
        <f>$C$4</f>
        <v>2022</v>
      </c>
      <c r="G4" s="63" t="s">
        <v>38</v>
      </c>
      <c r="H4" s="63" t="s">
        <v>40</v>
      </c>
      <c r="I4" s="61">
        <f>F4</f>
        <v>2022</v>
      </c>
      <c r="J4" s="60" t="s">
        <v>38</v>
      </c>
      <c r="K4" s="60" t="s">
        <v>40</v>
      </c>
      <c r="L4" s="62">
        <f>F4</f>
        <v>2022</v>
      </c>
      <c r="M4" s="63" t="s">
        <v>38</v>
      </c>
      <c r="N4" s="63" t="s">
        <v>40</v>
      </c>
      <c r="O4" s="61">
        <f>F4</f>
        <v>2022</v>
      </c>
      <c r="P4" s="60" t="s">
        <v>38</v>
      </c>
      <c r="Q4" s="60" t="s">
        <v>40</v>
      </c>
      <c r="R4" s="62">
        <f>F4</f>
        <v>2022</v>
      </c>
      <c r="S4" s="63" t="s">
        <v>38</v>
      </c>
      <c r="T4" s="63" t="s">
        <v>40</v>
      </c>
      <c r="U4" s="61">
        <f>F4</f>
        <v>2022</v>
      </c>
      <c r="V4" s="60" t="s">
        <v>38</v>
      </c>
      <c r="W4" s="60" t="s">
        <v>40</v>
      </c>
      <c r="X4" s="62">
        <f>F4</f>
        <v>2022</v>
      </c>
      <c r="Y4" s="63" t="s">
        <v>38</v>
      </c>
      <c r="Z4" s="63" t="s">
        <v>40</v>
      </c>
      <c r="AA4" s="61">
        <f>F4</f>
        <v>2022</v>
      </c>
      <c r="AB4" s="60" t="s">
        <v>38</v>
      </c>
      <c r="AC4" s="60" t="s">
        <v>40</v>
      </c>
      <c r="AD4" s="62">
        <f>F4</f>
        <v>2022</v>
      </c>
      <c r="AE4" s="63" t="s">
        <v>38</v>
      </c>
      <c r="AF4" s="63" t="s">
        <v>40</v>
      </c>
      <c r="AG4" s="61"/>
      <c r="AH4" s="60" t="s">
        <v>38</v>
      </c>
      <c r="AI4" s="60" t="s">
        <v>40</v>
      </c>
      <c r="AJ4" s="62"/>
      <c r="AK4" s="63" t="s">
        <v>38</v>
      </c>
      <c r="AL4" s="63" t="s">
        <v>40</v>
      </c>
      <c r="AM4" s="61"/>
      <c r="AN4" s="60" t="s">
        <v>38</v>
      </c>
      <c r="AO4" s="60" t="s">
        <v>40</v>
      </c>
    </row>
    <row r="5" spans="1:41" s="58" customFormat="1" ht="17.100000000000001" customHeight="1" x14ac:dyDescent="0.25">
      <c r="A5" s="9" t="s">
        <v>3</v>
      </c>
      <c r="B5" s="10" t="s">
        <v>4</v>
      </c>
      <c r="C5" s="11"/>
      <c r="D5" s="11" t="s">
        <v>2</v>
      </c>
      <c r="E5" s="3"/>
      <c r="F5" s="65"/>
      <c r="G5" s="65"/>
      <c r="H5" s="65"/>
      <c r="I5" s="66"/>
      <c r="J5" s="66"/>
      <c r="K5" s="66"/>
      <c r="L5" s="65"/>
      <c r="M5" s="65"/>
      <c r="N5" s="65"/>
      <c r="O5" s="66"/>
      <c r="P5" s="66"/>
      <c r="Q5" s="66"/>
      <c r="R5" s="65"/>
      <c r="S5" s="65"/>
      <c r="T5" s="65"/>
      <c r="U5" s="66"/>
      <c r="V5" s="66"/>
      <c r="W5" s="66"/>
      <c r="X5" s="65"/>
      <c r="Y5" s="65"/>
      <c r="Z5" s="65"/>
      <c r="AA5" s="66"/>
      <c r="AB5" s="66"/>
      <c r="AC5" s="66"/>
      <c r="AD5" s="65"/>
      <c r="AE5" s="65"/>
      <c r="AF5" s="65"/>
      <c r="AG5" s="66"/>
      <c r="AH5" s="66"/>
      <c r="AI5" s="66"/>
      <c r="AJ5" s="65"/>
      <c r="AK5" s="65"/>
      <c r="AL5" s="65"/>
      <c r="AM5" s="66"/>
      <c r="AN5" s="66"/>
      <c r="AO5" s="66"/>
    </row>
    <row r="6" spans="1:41" s="58" customFormat="1" ht="9" customHeight="1" x14ac:dyDescent="0.2">
      <c r="A6" s="12"/>
      <c r="B6" s="13"/>
      <c r="C6" s="12"/>
      <c r="D6" s="12"/>
      <c r="E6" s="3"/>
      <c r="F6" s="65"/>
      <c r="G6" s="65"/>
      <c r="H6" s="65"/>
      <c r="I6" s="66"/>
      <c r="J6" s="66"/>
      <c r="K6" s="66"/>
      <c r="L6" s="65"/>
      <c r="M6" s="65"/>
      <c r="N6" s="65"/>
      <c r="O6" s="66"/>
      <c r="P6" s="66"/>
      <c r="Q6" s="66"/>
      <c r="R6" s="65"/>
      <c r="S6" s="65"/>
      <c r="T6" s="65"/>
      <c r="U6" s="66"/>
      <c r="V6" s="66"/>
      <c r="W6" s="66"/>
      <c r="X6" s="65"/>
      <c r="Y6" s="65"/>
      <c r="Z6" s="65"/>
      <c r="AA6" s="66"/>
      <c r="AB6" s="66"/>
      <c r="AC6" s="66"/>
      <c r="AD6" s="65"/>
      <c r="AE6" s="65"/>
      <c r="AF6" s="65"/>
      <c r="AG6" s="66"/>
      <c r="AH6" s="66"/>
      <c r="AI6" s="66"/>
      <c r="AJ6" s="65"/>
      <c r="AK6" s="65"/>
      <c r="AL6" s="65"/>
      <c r="AM6" s="66"/>
      <c r="AN6" s="66"/>
      <c r="AO6" s="66"/>
    </row>
    <row r="7" spans="1:41" s="58" customFormat="1" ht="17.25" customHeight="1" x14ac:dyDescent="0.2">
      <c r="A7" s="64" t="s">
        <v>82</v>
      </c>
      <c r="B7" s="13"/>
      <c r="C7" s="14">
        <f>H7+K7+N7+Q7+T7+W7+Z7+AC7+AF7+AI7+AL7</f>
        <v>373752</v>
      </c>
      <c r="D7" s="14">
        <v>60000</v>
      </c>
      <c r="E7" s="3"/>
      <c r="F7" s="132">
        <v>0</v>
      </c>
      <c r="G7" s="65"/>
      <c r="H7" s="65">
        <f t="shared" ref="H7:H41" si="0">F7+G7</f>
        <v>0</v>
      </c>
      <c r="I7" s="132">
        <v>50525</v>
      </c>
      <c r="J7" s="66"/>
      <c r="K7" s="66">
        <f t="shared" ref="K7:K41" si="1">I7+J7</f>
        <v>50525</v>
      </c>
      <c r="L7" s="132"/>
      <c r="M7" s="65"/>
      <c r="N7" s="65">
        <f t="shared" ref="N7:N41" si="2">L7+M7</f>
        <v>0</v>
      </c>
      <c r="O7" s="132">
        <v>197266</v>
      </c>
      <c r="P7" s="66"/>
      <c r="Q7" s="66">
        <f t="shared" ref="Q7:Q41" si="3">O7+P7</f>
        <v>197266</v>
      </c>
      <c r="R7" s="132">
        <v>125961</v>
      </c>
      <c r="S7" s="65"/>
      <c r="T7" s="65">
        <f t="shared" ref="T7:T41" si="4">R7+S7</f>
        <v>125961</v>
      </c>
      <c r="U7" s="66"/>
      <c r="V7" s="66"/>
      <c r="W7" s="66">
        <f t="shared" ref="W7:W41" si="5">U7+V7</f>
        <v>0</v>
      </c>
      <c r="X7" s="65"/>
      <c r="Y7" s="65"/>
      <c r="Z7" s="65">
        <f t="shared" ref="Z7:Z41" si="6">X7+Y7</f>
        <v>0</v>
      </c>
      <c r="AA7" s="66"/>
      <c r="AB7" s="66"/>
      <c r="AC7" s="66">
        <f t="shared" ref="AC7:AC41" si="7">AA7+AB7</f>
        <v>0</v>
      </c>
      <c r="AD7" s="65"/>
      <c r="AE7" s="65"/>
      <c r="AF7" s="65">
        <f t="shared" ref="AF7:AF41" si="8">AD7+AE7</f>
        <v>0</v>
      </c>
      <c r="AG7" s="66"/>
      <c r="AH7" s="66"/>
      <c r="AI7" s="66">
        <f t="shared" ref="AI7:AI41" si="9">AG7+AH7</f>
        <v>0</v>
      </c>
      <c r="AJ7" s="65"/>
      <c r="AK7" s="65"/>
      <c r="AL7" s="65">
        <f t="shared" ref="AL7:AL41" si="10">AJ7+AK7</f>
        <v>0</v>
      </c>
      <c r="AM7" s="66"/>
      <c r="AN7" s="66"/>
      <c r="AO7" s="66">
        <f t="shared" ref="AO7" si="11">AM7+AN7</f>
        <v>0</v>
      </c>
    </row>
    <row r="8" spans="1:41" s="58" customFormat="1" ht="17.25" customHeight="1" x14ac:dyDescent="0.2">
      <c r="A8" s="64" t="s">
        <v>96</v>
      </c>
      <c r="B8" s="13"/>
      <c r="C8" s="14">
        <f t="shared" ref="C8:C10" si="12">H8+K8+N8+Q8+T8+W8+Z8+AC8+AF8+AI8+AL8</f>
        <v>68950</v>
      </c>
      <c r="D8" s="14"/>
      <c r="E8" s="3"/>
      <c r="F8" s="132"/>
      <c r="G8" s="65"/>
      <c r="H8" s="65">
        <f t="shared" si="0"/>
        <v>0</v>
      </c>
      <c r="I8" s="132">
        <v>22500</v>
      </c>
      <c r="J8" s="66"/>
      <c r="K8" s="66">
        <f t="shared" si="1"/>
        <v>22500</v>
      </c>
      <c r="L8" s="132"/>
      <c r="M8" s="65"/>
      <c r="N8" s="65">
        <f>L8+M8</f>
        <v>0</v>
      </c>
      <c r="O8" s="132">
        <v>0</v>
      </c>
      <c r="P8" s="66"/>
      <c r="Q8" s="66">
        <f t="shared" si="3"/>
        <v>0</v>
      </c>
      <c r="R8" s="132">
        <v>46450</v>
      </c>
      <c r="S8" s="65"/>
      <c r="T8" s="65">
        <f t="shared" si="4"/>
        <v>46450</v>
      </c>
      <c r="U8" s="132"/>
      <c r="V8" s="66"/>
      <c r="W8" s="66">
        <f t="shared" si="5"/>
        <v>0</v>
      </c>
      <c r="X8" s="132"/>
      <c r="Y8" s="65"/>
      <c r="Z8" s="65">
        <f t="shared" si="6"/>
        <v>0</v>
      </c>
      <c r="AA8" s="132"/>
      <c r="AB8" s="66"/>
      <c r="AC8" s="66">
        <f t="shared" si="7"/>
        <v>0</v>
      </c>
      <c r="AD8" s="65"/>
      <c r="AE8" s="65"/>
      <c r="AF8" s="65"/>
      <c r="AG8" s="66"/>
      <c r="AH8" s="66"/>
      <c r="AI8" s="66"/>
      <c r="AJ8" s="65"/>
      <c r="AK8" s="65"/>
      <c r="AL8" s="65"/>
      <c r="AM8" s="66"/>
      <c r="AN8" s="66"/>
      <c r="AO8" s="66"/>
    </row>
    <row r="9" spans="1:41" s="58" customFormat="1" ht="17.25" customHeight="1" x14ac:dyDescent="0.2">
      <c r="A9" s="64" t="s">
        <v>84</v>
      </c>
      <c r="B9" s="13"/>
      <c r="C9" s="14">
        <f t="shared" si="12"/>
        <v>48000</v>
      </c>
      <c r="D9" s="14"/>
      <c r="E9" s="3"/>
      <c r="F9" s="132"/>
      <c r="G9" s="65"/>
      <c r="H9" s="65">
        <f t="shared" si="0"/>
        <v>0</v>
      </c>
      <c r="I9" s="132">
        <v>48000</v>
      </c>
      <c r="J9" s="66"/>
      <c r="K9" s="66">
        <f t="shared" si="1"/>
        <v>48000</v>
      </c>
      <c r="L9" s="132"/>
      <c r="M9" s="65"/>
      <c r="N9" s="65">
        <f>L9+M9</f>
        <v>0</v>
      </c>
      <c r="O9" s="132"/>
      <c r="P9" s="66"/>
      <c r="Q9" s="66">
        <f t="shared" si="3"/>
        <v>0</v>
      </c>
      <c r="R9" s="132"/>
      <c r="S9" s="65"/>
      <c r="T9" s="65">
        <f t="shared" si="4"/>
        <v>0</v>
      </c>
      <c r="U9" s="132">
        <v>0</v>
      </c>
      <c r="V9" s="66"/>
      <c r="W9" s="66">
        <f t="shared" si="5"/>
        <v>0</v>
      </c>
      <c r="X9" s="132"/>
      <c r="Y9" s="65"/>
      <c r="Z9" s="65">
        <f t="shared" si="6"/>
        <v>0</v>
      </c>
      <c r="AA9" s="132"/>
      <c r="AB9" s="66"/>
      <c r="AC9" s="66">
        <f t="shared" si="7"/>
        <v>0</v>
      </c>
      <c r="AD9" s="65"/>
      <c r="AE9" s="65"/>
      <c r="AF9" s="65"/>
      <c r="AG9" s="66"/>
      <c r="AH9" s="66"/>
      <c r="AI9" s="66"/>
      <c r="AJ9" s="65"/>
      <c r="AK9" s="65"/>
      <c r="AL9" s="65"/>
      <c r="AM9" s="66"/>
      <c r="AN9" s="66"/>
      <c r="AO9" s="66"/>
    </row>
    <row r="10" spans="1:41" s="58" customFormat="1" ht="17.25" customHeight="1" x14ac:dyDescent="0.2">
      <c r="A10" s="64" t="s">
        <v>86</v>
      </c>
      <c r="B10" s="13"/>
      <c r="C10" s="14">
        <f t="shared" si="12"/>
        <v>602925</v>
      </c>
      <c r="D10" s="14"/>
      <c r="E10" s="3"/>
      <c r="F10" s="132"/>
      <c r="G10" s="65"/>
      <c r="H10" s="65">
        <f t="shared" si="0"/>
        <v>0</v>
      </c>
      <c r="I10" s="132">
        <v>0</v>
      </c>
      <c r="J10" s="66"/>
      <c r="K10" s="66">
        <f t="shared" si="1"/>
        <v>0</v>
      </c>
      <c r="L10" s="132"/>
      <c r="M10" s="65"/>
      <c r="N10" s="65">
        <f>L10+M10</f>
        <v>0</v>
      </c>
      <c r="O10" s="132">
        <v>59425</v>
      </c>
      <c r="P10" s="66"/>
      <c r="Q10" s="66">
        <f t="shared" si="3"/>
        <v>59425</v>
      </c>
      <c r="R10" s="132">
        <v>543500</v>
      </c>
      <c r="S10" s="65"/>
      <c r="T10" s="65">
        <f t="shared" si="4"/>
        <v>543500</v>
      </c>
      <c r="U10" s="132">
        <v>0</v>
      </c>
      <c r="V10" s="66"/>
      <c r="W10" s="66">
        <f t="shared" si="5"/>
        <v>0</v>
      </c>
      <c r="X10" s="132"/>
      <c r="Y10" s="65"/>
      <c r="Z10" s="65">
        <f t="shared" si="6"/>
        <v>0</v>
      </c>
      <c r="AA10" s="132"/>
      <c r="AB10" s="66"/>
      <c r="AC10" s="66">
        <f t="shared" si="7"/>
        <v>0</v>
      </c>
      <c r="AD10" s="65"/>
      <c r="AE10" s="65"/>
      <c r="AF10" s="65"/>
      <c r="AG10" s="66"/>
      <c r="AH10" s="66"/>
      <c r="AI10" s="66"/>
      <c r="AJ10" s="65"/>
      <c r="AK10" s="65"/>
      <c r="AL10" s="65"/>
      <c r="AM10" s="66"/>
      <c r="AN10" s="66"/>
      <c r="AO10" s="66"/>
    </row>
    <row r="11" spans="1:41" s="58" customFormat="1" ht="17.25" customHeight="1" x14ac:dyDescent="0.2">
      <c r="A11" s="64" t="s">
        <v>88</v>
      </c>
      <c r="B11" s="13"/>
      <c r="C11" s="14">
        <f t="shared" ref="C11:C21" si="13">H11+K11+N11+Q11+T11+W11+Z11+AC11+AF11+AI11+AL11+AO11</f>
        <v>230776</v>
      </c>
      <c r="D11" s="14"/>
      <c r="E11" s="3"/>
      <c r="F11" s="132">
        <v>230776</v>
      </c>
      <c r="G11" s="65"/>
      <c r="H11" s="65">
        <f t="shared" si="0"/>
        <v>230776</v>
      </c>
      <c r="I11" s="132"/>
      <c r="J11" s="66"/>
      <c r="K11" s="66">
        <f t="shared" si="1"/>
        <v>0</v>
      </c>
      <c r="L11" s="132"/>
      <c r="M11" s="65"/>
      <c r="N11" s="65">
        <f t="shared" si="2"/>
        <v>0</v>
      </c>
      <c r="O11" s="132"/>
      <c r="P11" s="66"/>
      <c r="Q11" s="66">
        <f t="shared" si="3"/>
        <v>0</v>
      </c>
      <c r="R11" s="132"/>
      <c r="S11" s="65"/>
      <c r="T11" s="65">
        <f t="shared" si="4"/>
        <v>0</v>
      </c>
      <c r="U11" s="132"/>
      <c r="V11" s="66"/>
      <c r="W11" s="66">
        <f t="shared" si="5"/>
        <v>0</v>
      </c>
      <c r="X11" s="132"/>
      <c r="Y11" s="65"/>
      <c r="Z11" s="65">
        <f t="shared" si="6"/>
        <v>0</v>
      </c>
      <c r="AA11" s="132"/>
      <c r="AB11" s="66"/>
      <c r="AC11" s="66">
        <f t="shared" si="7"/>
        <v>0</v>
      </c>
      <c r="AD11" s="65"/>
      <c r="AE11" s="65"/>
      <c r="AF11" s="65">
        <f t="shared" si="8"/>
        <v>0</v>
      </c>
      <c r="AG11" s="66"/>
      <c r="AH11" s="66"/>
      <c r="AI11" s="66">
        <f t="shared" si="9"/>
        <v>0</v>
      </c>
      <c r="AJ11" s="65"/>
      <c r="AK11" s="65"/>
      <c r="AL11" s="65">
        <f t="shared" si="10"/>
        <v>0</v>
      </c>
      <c r="AM11" s="66"/>
      <c r="AN11" s="66"/>
      <c r="AO11" s="66">
        <f t="shared" ref="AO11" si="14">AM11+AN11</f>
        <v>0</v>
      </c>
    </row>
    <row r="12" spans="1:41" s="58" customFormat="1" ht="17.25" customHeight="1" x14ac:dyDescent="0.2">
      <c r="A12" s="64" t="s">
        <v>58</v>
      </c>
      <c r="B12" s="13"/>
      <c r="C12" s="14">
        <f t="shared" si="13"/>
        <v>195949</v>
      </c>
      <c r="D12" s="14"/>
      <c r="E12" s="3"/>
      <c r="F12" s="132">
        <v>195949</v>
      </c>
      <c r="G12" s="65"/>
      <c r="H12" s="65">
        <f t="shared" si="0"/>
        <v>195949</v>
      </c>
      <c r="I12" s="132"/>
      <c r="J12" s="66"/>
      <c r="K12" s="66">
        <f t="shared" si="1"/>
        <v>0</v>
      </c>
      <c r="L12" s="132"/>
      <c r="M12" s="65"/>
      <c r="N12" s="65">
        <f>L12+M12</f>
        <v>0</v>
      </c>
      <c r="O12" s="132"/>
      <c r="P12" s="66"/>
      <c r="Q12" s="66">
        <f t="shared" si="3"/>
        <v>0</v>
      </c>
      <c r="R12" s="132"/>
      <c r="S12" s="65"/>
      <c r="T12" s="65">
        <f t="shared" si="4"/>
        <v>0</v>
      </c>
      <c r="U12" s="132"/>
      <c r="V12" s="66"/>
      <c r="W12" s="66">
        <f t="shared" si="5"/>
        <v>0</v>
      </c>
      <c r="X12" s="132"/>
      <c r="Y12" s="65"/>
      <c r="Z12" s="65">
        <f t="shared" si="6"/>
        <v>0</v>
      </c>
      <c r="AA12" s="132"/>
      <c r="AB12" s="66"/>
      <c r="AC12" s="66">
        <f t="shared" si="7"/>
        <v>0</v>
      </c>
      <c r="AD12" s="65"/>
      <c r="AE12" s="65"/>
      <c r="AF12" s="65"/>
      <c r="AG12" s="66"/>
      <c r="AH12" s="66"/>
      <c r="AI12" s="66"/>
      <c r="AJ12" s="65"/>
      <c r="AK12" s="65"/>
      <c r="AL12" s="65"/>
      <c r="AM12" s="66"/>
      <c r="AN12" s="66"/>
      <c r="AO12" s="66"/>
    </row>
    <row r="13" spans="1:41" s="58" customFormat="1" ht="17.25" customHeight="1" x14ac:dyDescent="0.2">
      <c r="A13" s="64" t="s">
        <v>59</v>
      </c>
      <c r="B13" s="13"/>
      <c r="C13" s="14">
        <f t="shared" si="13"/>
        <v>18525</v>
      </c>
      <c r="D13" s="14"/>
      <c r="E13" s="3"/>
      <c r="F13" s="132">
        <v>100000</v>
      </c>
      <c r="G13" s="120">
        <f>-100000</f>
        <v>-100000</v>
      </c>
      <c r="H13" s="65">
        <f t="shared" si="0"/>
        <v>0</v>
      </c>
      <c r="I13" s="132">
        <v>45954</v>
      </c>
      <c r="J13" s="120">
        <v>-45954</v>
      </c>
      <c r="K13" s="66">
        <f t="shared" si="1"/>
        <v>0</v>
      </c>
      <c r="L13" s="132"/>
      <c r="M13" s="65"/>
      <c r="N13" s="65">
        <f t="shared" si="2"/>
        <v>0</v>
      </c>
      <c r="O13" s="133">
        <f>192312+72927</f>
        <v>265239</v>
      </c>
      <c r="P13" s="120">
        <f>-192312-72927</f>
        <v>-265239</v>
      </c>
      <c r="Q13" s="66">
        <f t="shared" si="3"/>
        <v>0</v>
      </c>
      <c r="R13" s="132"/>
      <c r="S13" s="65"/>
      <c r="T13" s="65">
        <f t="shared" si="4"/>
        <v>0</v>
      </c>
      <c r="U13" s="132">
        <v>18981</v>
      </c>
      <c r="V13" s="120">
        <v>-18981</v>
      </c>
      <c r="W13" s="66">
        <f t="shared" si="5"/>
        <v>0</v>
      </c>
      <c r="X13" s="132"/>
      <c r="Y13" s="65"/>
      <c r="Z13" s="65">
        <f t="shared" si="6"/>
        <v>0</v>
      </c>
      <c r="AA13" s="132">
        <v>18525</v>
      </c>
      <c r="AB13" s="120">
        <v>0</v>
      </c>
      <c r="AC13" s="66">
        <f t="shared" si="7"/>
        <v>18525</v>
      </c>
      <c r="AD13" s="65">
        <v>0</v>
      </c>
      <c r="AE13" s="120">
        <v>0</v>
      </c>
      <c r="AF13" s="65">
        <f t="shared" si="8"/>
        <v>0</v>
      </c>
      <c r="AG13" s="66"/>
      <c r="AH13" s="66"/>
      <c r="AI13" s="66">
        <f t="shared" si="9"/>
        <v>0</v>
      </c>
      <c r="AJ13" s="65"/>
      <c r="AK13" s="65"/>
      <c r="AL13" s="65">
        <f t="shared" si="10"/>
        <v>0</v>
      </c>
      <c r="AM13" s="66"/>
      <c r="AN13" s="66"/>
      <c r="AO13" s="66">
        <f t="shared" ref="AO13:AO21" si="15">AM13+AN13</f>
        <v>0</v>
      </c>
    </row>
    <row r="14" spans="1:41" s="58" customFormat="1" ht="17.25" customHeight="1" x14ac:dyDescent="0.2">
      <c r="A14" s="64" t="s">
        <v>87</v>
      </c>
      <c r="B14" s="13"/>
      <c r="C14" s="14">
        <f t="shared" si="13"/>
        <v>41200</v>
      </c>
      <c r="D14" s="14">
        <v>80000</v>
      </c>
      <c r="E14" s="3"/>
      <c r="F14" s="132">
        <v>41200</v>
      </c>
      <c r="G14" s="65"/>
      <c r="H14" s="65">
        <f t="shared" si="0"/>
        <v>41200</v>
      </c>
      <c r="I14" s="132"/>
      <c r="J14" s="66"/>
      <c r="K14" s="66">
        <f t="shared" si="1"/>
        <v>0</v>
      </c>
      <c r="L14" s="132"/>
      <c r="M14" s="65"/>
      <c r="N14" s="65">
        <f t="shared" si="2"/>
        <v>0</v>
      </c>
      <c r="O14" s="132"/>
      <c r="P14" s="66"/>
      <c r="Q14" s="66">
        <f t="shared" si="3"/>
        <v>0</v>
      </c>
      <c r="R14" s="132"/>
      <c r="S14" s="65"/>
      <c r="T14" s="65">
        <f t="shared" si="4"/>
        <v>0</v>
      </c>
      <c r="U14" s="132"/>
      <c r="V14" s="66"/>
      <c r="W14" s="66">
        <f t="shared" si="5"/>
        <v>0</v>
      </c>
      <c r="X14" s="132"/>
      <c r="Y14" s="65"/>
      <c r="Z14" s="65">
        <f t="shared" si="6"/>
        <v>0</v>
      </c>
      <c r="AA14" s="132"/>
      <c r="AB14" s="66"/>
      <c r="AC14" s="66">
        <f t="shared" si="7"/>
        <v>0</v>
      </c>
      <c r="AD14" s="65"/>
      <c r="AE14" s="65"/>
      <c r="AF14" s="65">
        <f t="shared" si="8"/>
        <v>0</v>
      </c>
      <c r="AG14" s="66"/>
      <c r="AH14" s="66"/>
      <c r="AI14" s="66">
        <f t="shared" si="9"/>
        <v>0</v>
      </c>
      <c r="AJ14" s="65"/>
      <c r="AK14" s="65"/>
      <c r="AL14" s="65">
        <f t="shared" si="10"/>
        <v>0</v>
      </c>
      <c r="AM14" s="66"/>
      <c r="AN14" s="66"/>
      <c r="AO14" s="66">
        <f t="shared" si="15"/>
        <v>0</v>
      </c>
    </row>
    <row r="15" spans="1:41" s="58" customFormat="1" ht="17.25" customHeight="1" x14ac:dyDescent="0.2">
      <c r="A15" s="64" t="s">
        <v>53</v>
      </c>
      <c r="B15" s="13"/>
      <c r="C15" s="14">
        <f t="shared" si="13"/>
        <v>249306</v>
      </c>
      <c r="D15" s="14">
        <v>45000</v>
      </c>
      <c r="E15" s="3"/>
      <c r="F15" s="132">
        <v>0</v>
      </c>
      <c r="G15" s="65"/>
      <c r="H15" s="65">
        <f t="shared" si="0"/>
        <v>0</v>
      </c>
      <c r="I15" s="132">
        <v>50550</v>
      </c>
      <c r="J15" s="66"/>
      <c r="K15" s="66">
        <f t="shared" si="1"/>
        <v>50550</v>
      </c>
      <c r="L15" s="132"/>
      <c r="M15" s="65"/>
      <c r="N15" s="65">
        <f t="shared" si="2"/>
        <v>0</v>
      </c>
      <c r="O15" s="132">
        <v>153810</v>
      </c>
      <c r="P15" s="66"/>
      <c r="Q15" s="66">
        <f t="shared" si="3"/>
        <v>153810</v>
      </c>
      <c r="R15" s="132"/>
      <c r="S15" s="65"/>
      <c r="T15" s="65">
        <f t="shared" si="4"/>
        <v>0</v>
      </c>
      <c r="U15" s="132">
        <v>38746</v>
      </c>
      <c r="V15" s="66"/>
      <c r="W15" s="66">
        <f t="shared" si="5"/>
        <v>38746</v>
      </c>
      <c r="X15" s="132"/>
      <c r="Y15" s="65"/>
      <c r="Z15" s="65">
        <f t="shared" si="6"/>
        <v>0</v>
      </c>
      <c r="AA15" s="132">
        <v>5400</v>
      </c>
      <c r="AB15" s="66"/>
      <c r="AC15" s="66">
        <f t="shared" si="7"/>
        <v>5400</v>
      </c>
      <c r="AD15" s="65">
        <v>800</v>
      </c>
      <c r="AE15" s="65"/>
      <c r="AF15" s="65">
        <f t="shared" si="8"/>
        <v>800</v>
      </c>
      <c r="AG15" s="66"/>
      <c r="AH15" s="66"/>
      <c r="AI15" s="66">
        <f t="shared" si="9"/>
        <v>0</v>
      </c>
      <c r="AJ15" s="65"/>
      <c r="AK15" s="65"/>
      <c r="AL15" s="65">
        <f t="shared" si="10"/>
        <v>0</v>
      </c>
      <c r="AM15" s="66"/>
      <c r="AN15" s="66"/>
      <c r="AO15" s="66">
        <f t="shared" si="15"/>
        <v>0</v>
      </c>
    </row>
    <row r="16" spans="1:41" s="58" customFormat="1" ht="17.25" customHeight="1" x14ac:dyDescent="0.2">
      <c r="A16" s="64" t="s">
        <v>54</v>
      </c>
      <c r="B16" s="13"/>
      <c r="C16" s="14">
        <f t="shared" si="13"/>
        <v>545395</v>
      </c>
      <c r="D16" s="14">
        <v>3000</v>
      </c>
      <c r="E16" s="3"/>
      <c r="F16" s="132">
        <v>426081</v>
      </c>
      <c r="G16" s="120"/>
      <c r="H16" s="65">
        <f t="shared" si="0"/>
        <v>426081</v>
      </c>
      <c r="I16" s="132">
        <v>0</v>
      </c>
      <c r="J16" s="66"/>
      <c r="K16" s="66">
        <f t="shared" si="1"/>
        <v>0</v>
      </c>
      <c r="L16" s="132"/>
      <c r="M16" s="65"/>
      <c r="N16" s="65">
        <f t="shared" si="2"/>
        <v>0</v>
      </c>
      <c r="O16" s="132">
        <v>119314</v>
      </c>
      <c r="P16" s="66"/>
      <c r="Q16" s="66">
        <f t="shared" si="3"/>
        <v>119314</v>
      </c>
      <c r="R16" s="132"/>
      <c r="S16" s="65"/>
      <c r="T16" s="65">
        <f t="shared" si="4"/>
        <v>0</v>
      </c>
      <c r="U16" s="132">
        <v>0</v>
      </c>
      <c r="V16" s="66"/>
      <c r="W16" s="66">
        <f t="shared" si="5"/>
        <v>0</v>
      </c>
      <c r="X16" s="132"/>
      <c r="Y16" s="65"/>
      <c r="Z16" s="65">
        <f t="shared" si="6"/>
        <v>0</v>
      </c>
      <c r="AA16" s="132"/>
      <c r="AB16" s="66"/>
      <c r="AC16" s="66">
        <f t="shared" si="7"/>
        <v>0</v>
      </c>
      <c r="AD16" s="65"/>
      <c r="AE16" s="65"/>
      <c r="AF16" s="65">
        <f t="shared" si="8"/>
        <v>0</v>
      </c>
      <c r="AG16" s="66"/>
      <c r="AH16" s="66"/>
      <c r="AI16" s="66">
        <f t="shared" si="9"/>
        <v>0</v>
      </c>
      <c r="AJ16" s="65"/>
      <c r="AK16" s="65"/>
      <c r="AL16" s="65">
        <f t="shared" si="10"/>
        <v>0</v>
      </c>
      <c r="AM16" s="66"/>
      <c r="AN16" s="66"/>
      <c r="AO16" s="66">
        <f t="shared" si="15"/>
        <v>0</v>
      </c>
    </row>
    <row r="17" spans="1:41" s="58" customFormat="1" ht="17.25" customHeight="1" x14ac:dyDescent="0.2">
      <c r="A17" s="12" t="s">
        <v>181</v>
      </c>
      <c r="B17" s="13"/>
      <c r="C17" s="14">
        <f t="shared" si="13"/>
        <v>0</v>
      </c>
      <c r="D17" s="14">
        <v>32000</v>
      </c>
      <c r="E17" s="3"/>
      <c r="F17" s="132">
        <v>0</v>
      </c>
      <c r="G17" s="65"/>
      <c r="H17" s="65">
        <f t="shared" si="0"/>
        <v>0</v>
      </c>
      <c r="I17" s="132">
        <v>0</v>
      </c>
      <c r="J17" s="66"/>
      <c r="K17" s="66">
        <f t="shared" si="1"/>
        <v>0</v>
      </c>
      <c r="L17" s="132"/>
      <c r="M17" s="65"/>
      <c r="N17" s="65">
        <f t="shared" si="2"/>
        <v>0</v>
      </c>
      <c r="O17" s="132">
        <v>0</v>
      </c>
      <c r="P17" s="66"/>
      <c r="Q17" s="66">
        <f t="shared" si="3"/>
        <v>0</v>
      </c>
      <c r="R17" s="132">
        <v>0</v>
      </c>
      <c r="S17" s="65"/>
      <c r="T17" s="65">
        <f t="shared" si="4"/>
        <v>0</v>
      </c>
      <c r="U17" s="132"/>
      <c r="V17" s="66"/>
      <c r="W17" s="66">
        <f t="shared" si="5"/>
        <v>0</v>
      </c>
      <c r="X17" s="132"/>
      <c r="Y17" s="65"/>
      <c r="Z17" s="65">
        <f t="shared" si="6"/>
        <v>0</v>
      </c>
      <c r="AA17" s="132"/>
      <c r="AB17" s="66"/>
      <c r="AC17" s="66">
        <f t="shared" si="7"/>
        <v>0</v>
      </c>
      <c r="AD17" s="65"/>
      <c r="AE17" s="65"/>
      <c r="AF17" s="65">
        <f t="shared" si="8"/>
        <v>0</v>
      </c>
      <c r="AG17" s="66"/>
      <c r="AH17" s="66"/>
      <c r="AI17" s="66">
        <f t="shared" si="9"/>
        <v>0</v>
      </c>
      <c r="AJ17" s="65"/>
      <c r="AK17" s="65"/>
      <c r="AL17" s="65">
        <f t="shared" si="10"/>
        <v>0</v>
      </c>
      <c r="AM17" s="66"/>
      <c r="AN17" s="66"/>
      <c r="AO17" s="66">
        <f t="shared" si="15"/>
        <v>0</v>
      </c>
    </row>
    <row r="18" spans="1:41" s="58" customFormat="1" ht="17.25" customHeight="1" x14ac:dyDescent="0.2">
      <c r="A18" s="64" t="s">
        <v>56</v>
      </c>
      <c r="B18" s="13"/>
      <c r="C18" s="14">
        <f t="shared" si="13"/>
        <v>15600</v>
      </c>
      <c r="D18" s="14">
        <v>70000</v>
      </c>
      <c r="E18" s="3"/>
      <c r="F18" s="132">
        <v>15600</v>
      </c>
      <c r="G18" s="65"/>
      <c r="H18" s="65">
        <f t="shared" si="0"/>
        <v>15600</v>
      </c>
      <c r="I18" s="132"/>
      <c r="J18" s="66"/>
      <c r="K18" s="66">
        <f t="shared" si="1"/>
        <v>0</v>
      </c>
      <c r="L18" s="132"/>
      <c r="M18" s="65"/>
      <c r="N18" s="65">
        <f t="shared" si="2"/>
        <v>0</v>
      </c>
      <c r="O18" s="132"/>
      <c r="P18" s="66"/>
      <c r="Q18" s="66">
        <f t="shared" si="3"/>
        <v>0</v>
      </c>
      <c r="R18" s="132"/>
      <c r="S18" s="65"/>
      <c r="T18" s="65">
        <f t="shared" si="4"/>
        <v>0</v>
      </c>
      <c r="U18" s="132"/>
      <c r="V18" s="66"/>
      <c r="W18" s="66">
        <f t="shared" si="5"/>
        <v>0</v>
      </c>
      <c r="X18" s="132"/>
      <c r="Y18" s="65"/>
      <c r="Z18" s="65">
        <f t="shared" si="6"/>
        <v>0</v>
      </c>
      <c r="AA18" s="132"/>
      <c r="AB18" s="66"/>
      <c r="AC18" s="66">
        <f t="shared" si="7"/>
        <v>0</v>
      </c>
      <c r="AD18" s="65"/>
      <c r="AE18" s="65"/>
      <c r="AF18" s="65">
        <f t="shared" si="8"/>
        <v>0</v>
      </c>
      <c r="AG18" s="66"/>
      <c r="AH18" s="66"/>
      <c r="AI18" s="66">
        <f t="shared" si="9"/>
        <v>0</v>
      </c>
      <c r="AJ18" s="65"/>
      <c r="AK18" s="65"/>
      <c r="AL18" s="65">
        <f t="shared" si="10"/>
        <v>0</v>
      </c>
      <c r="AM18" s="66"/>
      <c r="AN18" s="66"/>
      <c r="AO18" s="66">
        <f t="shared" si="15"/>
        <v>0</v>
      </c>
    </row>
    <row r="19" spans="1:41" s="58" customFormat="1" ht="17.25" customHeight="1" x14ac:dyDescent="0.2">
      <c r="A19" s="12" t="s">
        <v>162</v>
      </c>
      <c r="B19" s="13"/>
      <c r="C19" s="14">
        <f t="shared" si="13"/>
        <v>100614</v>
      </c>
      <c r="D19" s="14">
        <v>70000</v>
      </c>
      <c r="E19" s="3"/>
      <c r="F19" s="132">
        <v>100614</v>
      </c>
      <c r="G19" s="65"/>
      <c r="H19" s="65">
        <f t="shared" si="0"/>
        <v>100614</v>
      </c>
      <c r="I19" s="132"/>
      <c r="J19" s="66"/>
      <c r="K19" s="66">
        <f t="shared" si="1"/>
        <v>0</v>
      </c>
      <c r="L19" s="132"/>
      <c r="M19" s="65"/>
      <c r="N19" s="65">
        <f t="shared" si="2"/>
        <v>0</v>
      </c>
      <c r="O19" s="132"/>
      <c r="P19" s="66"/>
      <c r="Q19" s="66">
        <f t="shared" si="3"/>
        <v>0</v>
      </c>
      <c r="R19" s="132"/>
      <c r="S19" s="65"/>
      <c r="T19" s="65">
        <f t="shared" si="4"/>
        <v>0</v>
      </c>
      <c r="U19" s="132"/>
      <c r="V19" s="66"/>
      <c r="W19" s="66">
        <f t="shared" si="5"/>
        <v>0</v>
      </c>
      <c r="X19" s="132"/>
      <c r="Y19" s="65"/>
      <c r="Z19" s="65">
        <f t="shared" si="6"/>
        <v>0</v>
      </c>
      <c r="AA19" s="132"/>
      <c r="AB19" s="66"/>
      <c r="AC19" s="66">
        <f t="shared" si="7"/>
        <v>0</v>
      </c>
      <c r="AD19" s="65"/>
      <c r="AE19" s="65"/>
      <c r="AF19" s="65">
        <f t="shared" si="8"/>
        <v>0</v>
      </c>
      <c r="AG19" s="66"/>
      <c r="AH19" s="66"/>
      <c r="AI19" s="66">
        <f t="shared" si="9"/>
        <v>0</v>
      </c>
      <c r="AJ19" s="65"/>
      <c r="AK19" s="65"/>
      <c r="AL19" s="65">
        <f t="shared" si="10"/>
        <v>0</v>
      </c>
      <c r="AM19" s="66"/>
      <c r="AN19" s="66"/>
      <c r="AO19" s="66">
        <f t="shared" si="15"/>
        <v>0</v>
      </c>
    </row>
    <row r="20" spans="1:41" s="58" customFormat="1" ht="17.25" customHeight="1" x14ac:dyDescent="0.2">
      <c r="A20" s="12" t="s">
        <v>124</v>
      </c>
      <c r="B20" s="13"/>
      <c r="C20" s="14">
        <f t="shared" si="13"/>
        <v>156383</v>
      </c>
      <c r="D20" s="14"/>
      <c r="E20" s="3"/>
      <c r="F20" s="132">
        <v>156383</v>
      </c>
      <c r="G20" s="65"/>
      <c r="H20" s="65">
        <f t="shared" si="0"/>
        <v>156383</v>
      </c>
      <c r="I20" s="132"/>
      <c r="J20" s="66"/>
      <c r="K20" s="66">
        <f t="shared" si="1"/>
        <v>0</v>
      </c>
      <c r="L20" s="132"/>
      <c r="M20" s="65"/>
      <c r="N20" s="65">
        <f t="shared" si="2"/>
        <v>0</v>
      </c>
      <c r="O20" s="132"/>
      <c r="P20" s="66"/>
      <c r="Q20" s="66">
        <f t="shared" si="3"/>
        <v>0</v>
      </c>
      <c r="R20" s="132"/>
      <c r="S20" s="65"/>
      <c r="T20" s="65">
        <f t="shared" si="4"/>
        <v>0</v>
      </c>
      <c r="U20" s="132"/>
      <c r="V20" s="66"/>
      <c r="W20" s="66">
        <f t="shared" si="5"/>
        <v>0</v>
      </c>
      <c r="X20" s="132"/>
      <c r="Y20" s="65"/>
      <c r="Z20" s="65">
        <f t="shared" si="6"/>
        <v>0</v>
      </c>
      <c r="AA20" s="132"/>
      <c r="AB20" s="66"/>
      <c r="AC20" s="66">
        <f t="shared" si="7"/>
        <v>0</v>
      </c>
      <c r="AD20" s="65"/>
      <c r="AE20" s="65"/>
      <c r="AF20" s="65">
        <f t="shared" si="8"/>
        <v>0</v>
      </c>
      <c r="AG20" s="66"/>
      <c r="AH20" s="66"/>
      <c r="AI20" s="66">
        <f t="shared" si="9"/>
        <v>0</v>
      </c>
      <c r="AJ20" s="65"/>
      <c r="AK20" s="65"/>
      <c r="AL20" s="65">
        <f t="shared" si="10"/>
        <v>0</v>
      </c>
      <c r="AM20" s="66"/>
      <c r="AN20" s="66"/>
      <c r="AO20" s="66">
        <f t="shared" si="15"/>
        <v>0</v>
      </c>
    </row>
    <row r="21" spans="1:41" s="58" customFormat="1" ht="17.25" customHeight="1" x14ac:dyDescent="0.2">
      <c r="A21" s="64" t="s">
        <v>55</v>
      </c>
      <c r="B21" s="13"/>
      <c r="C21" s="14">
        <f t="shared" si="13"/>
        <v>838872</v>
      </c>
      <c r="D21" s="14">
        <v>20000</v>
      </c>
      <c r="E21" s="3"/>
      <c r="F21" s="132">
        <v>523982</v>
      </c>
      <c r="G21" s="65"/>
      <c r="H21" s="65">
        <f t="shared" si="0"/>
        <v>523982</v>
      </c>
      <c r="I21" s="132">
        <v>199340</v>
      </c>
      <c r="J21" s="66"/>
      <c r="K21" s="66">
        <f t="shared" si="1"/>
        <v>199340</v>
      </c>
      <c r="L21" s="132"/>
      <c r="M21" s="65"/>
      <c r="N21" s="65">
        <f t="shared" si="2"/>
        <v>0</v>
      </c>
      <c r="O21" s="133">
        <v>0</v>
      </c>
      <c r="P21" s="66"/>
      <c r="Q21" s="66">
        <f t="shared" si="3"/>
        <v>0</v>
      </c>
      <c r="R21" s="132">
        <v>40000</v>
      </c>
      <c r="S21" s="65"/>
      <c r="T21" s="65">
        <f t="shared" si="4"/>
        <v>40000</v>
      </c>
      <c r="U21" s="132">
        <v>0</v>
      </c>
      <c r="V21" s="66"/>
      <c r="W21" s="66">
        <f t="shared" si="5"/>
        <v>0</v>
      </c>
      <c r="X21" s="132">
        <v>52500</v>
      </c>
      <c r="Y21" s="65"/>
      <c r="Z21" s="65">
        <f t="shared" si="6"/>
        <v>52500</v>
      </c>
      <c r="AA21" s="132"/>
      <c r="AB21" s="66"/>
      <c r="AC21" s="66">
        <f t="shared" si="7"/>
        <v>0</v>
      </c>
      <c r="AD21" s="65">
        <v>23050</v>
      </c>
      <c r="AE21" s="65"/>
      <c r="AF21" s="65">
        <f t="shared" si="8"/>
        <v>23050</v>
      </c>
      <c r="AG21" s="66"/>
      <c r="AH21" s="66"/>
      <c r="AI21" s="66">
        <f t="shared" si="9"/>
        <v>0</v>
      </c>
      <c r="AJ21" s="65"/>
      <c r="AK21" s="65"/>
      <c r="AL21" s="65">
        <f t="shared" si="10"/>
        <v>0</v>
      </c>
      <c r="AM21" s="66"/>
      <c r="AN21" s="66"/>
      <c r="AO21" s="66">
        <f t="shared" si="15"/>
        <v>0</v>
      </c>
    </row>
    <row r="22" spans="1:41" s="58" customFormat="1" ht="17.25" x14ac:dyDescent="0.3">
      <c r="A22" s="4" t="s">
        <v>5</v>
      </c>
      <c r="B22" s="16"/>
      <c r="C22" s="17">
        <f>SUM(C7:C21)</f>
        <v>3486247</v>
      </c>
      <c r="D22" s="17">
        <f>SUM(D7:D21)</f>
        <v>380000</v>
      </c>
      <c r="E22" s="3"/>
      <c r="F22" s="67">
        <f t="shared" ref="F22:AO22" si="16">SUM(F7:F21)</f>
        <v>1790585</v>
      </c>
      <c r="G22" s="67">
        <f t="shared" si="16"/>
        <v>-100000</v>
      </c>
      <c r="H22" s="67">
        <f t="shared" si="16"/>
        <v>1690585</v>
      </c>
      <c r="I22" s="67">
        <f t="shared" si="16"/>
        <v>416869</v>
      </c>
      <c r="J22" s="67">
        <f t="shared" si="16"/>
        <v>-45954</v>
      </c>
      <c r="K22" s="67">
        <f t="shared" si="16"/>
        <v>370915</v>
      </c>
      <c r="L22" s="67">
        <f t="shared" si="16"/>
        <v>0</v>
      </c>
      <c r="M22" s="67">
        <f t="shared" si="16"/>
        <v>0</v>
      </c>
      <c r="N22" s="67">
        <f t="shared" si="16"/>
        <v>0</v>
      </c>
      <c r="O22" s="67">
        <f t="shared" si="16"/>
        <v>795054</v>
      </c>
      <c r="P22" s="67">
        <f t="shared" si="16"/>
        <v>-265239</v>
      </c>
      <c r="Q22" s="67">
        <f t="shared" si="16"/>
        <v>529815</v>
      </c>
      <c r="R22" s="67">
        <f t="shared" si="16"/>
        <v>755911</v>
      </c>
      <c r="S22" s="67">
        <f t="shared" si="16"/>
        <v>0</v>
      </c>
      <c r="T22" s="67">
        <f t="shared" si="16"/>
        <v>755911</v>
      </c>
      <c r="U22" s="67">
        <f t="shared" si="16"/>
        <v>57727</v>
      </c>
      <c r="V22" s="67">
        <f t="shared" si="16"/>
        <v>-18981</v>
      </c>
      <c r="W22" s="67">
        <f t="shared" si="16"/>
        <v>38746</v>
      </c>
      <c r="X22" s="67">
        <f t="shared" si="16"/>
        <v>52500</v>
      </c>
      <c r="Y22" s="67">
        <f t="shared" si="16"/>
        <v>0</v>
      </c>
      <c r="Z22" s="67">
        <f t="shared" si="16"/>
        <v>52500</v>
      </c>
      <c r="AA22" s="67">
        <f t="shared" si="16"/>
        <v>23925</v>
      </c>
      <c r="AB22" s="67">
        <f t="shared" si="16"/>
        <v>0</v>
      </c>
      <c r="AC22" s="67">
        <f t="shared" si="16"/>
        <v>23925</v>
      </c>
      <c r="AD22" s="67">
        <f t="shared" si="16"/>
        <v>23850</v>
      </c>
      <c r="AE22" s="67">
        <f t="shared" si="16"/>
        <v>0</v>
      </c>
      <c r="AF22" s="67">
        <f t="shared" si="16"/>
        <v>23850</v>
      </c>
      <c r="AG22" s="67">
        <f t="shared" si="16"/>
        <v>0</v>
      </c>
      <c r="AH22" s="67">
        <f t="shared" si="16"/>
        <v>0</v>
      </c>
      <c r="AI22" s="67">
        <f t="shared" si="16"/>
        <v>0</v>
      </c>
      <c r="AJ22" s="67">
        <f t="shared" si="16"/>
        <v>0</v>
      </c>
      <c r="AK22" s="67">
        <f t="shared" si="16"/>
        <v>0</v>
      </c>
      <c r="AL22" s="67">
        <f t="shared" si="16"/>
        <v>0</v>
      </c>
      <c r="AM22" s="67">
        <f t="shared" si="16"/>
        <v>0</v>
      </c>
      <c r="AN22" s="67">
        <f t="shared" si="16"/>
        <v>0</v>
      </c>
      <c r="AO22" s="67">
        <f t="shared" si="16"/>
        <v>0</v>
      </c>
    </row>
    <row r="23" spans="1:41" s="58" customFormat="1" ht="21.95" customHeight="1" x14ac:dyDescent="0.3">
      <c r="A23" s="15"/>
      <c r="B23" s="16"/>
      <c r="C23" s="18"/>
      <c r="D23" s="18"/>
      <c r="E23" s="3"/>
      <c r="F23" s="65"/>
      <c r="G23" s="65"/>
      <c r="H23" s="65"/>
      <c r="I23" s="66"/>
      <c r="J23" s="66"/>
      <c r="K23" s="66"/>
      <c r="L23" s="65"/>
      <c r="M23" s="65"/>
      <c r="N23" s="65"/>
      <c r="O23" s="66"/>
      <c r="P23" s="66"/>
      <c r="Q23" s="66"/>
      <c r="R23" s="65"/>
      <c r="S23" s="65"/>
      <c r="T23" s="65"/>
      <c r="U23" s="66"/>
      <c r="V23" s="66"/>
      <c r="W23" s="66"/>
      <c r="X23" s="65"/>
      <c r="Y23" s="65"/>
      <c r="Z23" s="65"/>
      <c r="AA23" s="66"/>
      <c r="AB23" s="66"/>
      <c r="AC23" s="66"/>
      <c r="AD23" s="65"/>
      <c r="AE23" s="65"/>
      <c r="AF23" s="65"/>
      <c r="AG23" s="66"/>
      <c r="AH23" s="66"/>
      <c r="AI23" s="66"/>
      <c r="AJ23" s="65"/>
      <c r="AK23" s="65"/>
      <c r="AL23" s="65"/>
      <c r="AM23" s="66"/>
      <c r="AN23" s="66"/>
      <c r="AO23" s="66"/>
    </row>
    <row r="24" spans="1:41" s="58" customFormat="1" ht="17.25" x14ac:dyDescent="0.3">
      <c r="A24" s="4" t="s">
        <v>6</v>
      </c>
      <c r="B24" s="16"/>
      <c r="C24" s="19"/>
      <c r="D24" s="19"/>
      <c r="E24" s="3"/>
      <c r="F24" s="65"/>
      <c r="G24" s="65"/>
      <c r="H24" s="65"/>
      <c r="I24" s="66"/>
      <c r="J24" s="66"/>
      <c r="K24" s="66"/>
      <c r="L24" s="65"/>
      <c r="M24" s="65"/>
      <c r="N24" s="65"/>
      <c r="O24" s="66"/>
      <c r="P24" s="66"/>
      <c r="Q24" s="66"/>
      <c r="R24" s="65"/>
      <c r="S24" s="65"/>
      <c r="T24" s="65"/>
      <c r="U24" s="66"/>
      <c r="V24" s="66"/>
      <c r="W24" s="66"/>
      <c r="X24" s="65"/>
      <c r="Y24" s="65"/>
      <c r="Z24" s="65"/>
      <c r="AA24" s="66"/>
      <c r="AB24" s="66"/>
      <c r="AC24" s="66"/>
      <c r="AD24" s="65"/>
      <c r="AE24" s="65"/>
      <c r="AF24" s="65"/>
      <c r="AG24" s="66"/>
      <c r="AH24" s="66"/>
      <c r="AI24" s="66"/>
      <c r="AJ24" s="65"/>
      <c r="AK24" s="65"/>
      <c r="AL24" s="65"/>
      <c r="AM24" s="66"/>
      <c r="AN24" s="66"/>
      <c r="AO24" s="66"/>
    </row>
    <row r="25" spans="1:41" s="58" customFormat="1" ht="9.9499999999999993" customHeight="1" x14ac:dyDescent="0.3">
      <c r="A25" s="15"/>
      <c r="B25" s="16"/>
      <c r="C25" s="19"/>
      <c r="D25" s="19"/>
      <c r="E25" s="3"/>
      <c r="F25" s="65"/>
      <c r="G25" s="65"/>
      <c r="H25" s="65"/>
      <c r="I25" s="66"/>
      <c r="J25" s="66"/>
      <c r="K25" s="66"/>
      <c r="L25" s="65"/>
      <c r="M25" s="65"/>
      <c r="N25" s="65"/>
      <c r="O25" s="66"/>
      <c r="P25" s="66"/>
      <c r="Q25" s="66"/>
      <c r="R25" s="65"/>
      <c r="S25" s="65"/>
      <c r="T25" s="65"/>
      <c r="U25" s="66"/>
      <c r="V25" s="66"/>
      <c r="W25" s="66"/>
      <c r="X25" s="65"/>
      <c r="Y25" s="65"/>
      <c r="Z25" s="65"/>
      <c r="AA25" s="66"/>
      <c r="AB25" s="66"/>
      <c r="AC25" s="66"/>
      <c r="AD25" s="65"/>
      <c r="AE25" s="65"/>
      <c r="AF25" s="65"/>
      <c r="AG25" s="66"/>
      <c r="AH25" s="66"/>
      <c r="AI25" s="66"/>
      <c r="AJ25" s="65"/>
      <c r="AK25" s="65"/>
      <c r="AL25" s="65"/>
      <c r="AM25" s="66"/>
      <c r="AN25" s="66"/>
      <c r="AO25" s="66"/>
    </row>
    <row r="26" spans="1:41" s="58" customFormat="1" ht="16.5" customHeight="1" x14ac:dyDescent="0.3">
      <c r="A26" s="68" t="s">
        <v>89</v>
      </c>
      <c r="B26" s="16"/>
      <c r="C26" s="14">
        <f>H26+K26+N26+Q26+T26+W26+Z26+AC26+AF26+AI26+AL26+AO26</f>
        <v>289887</v>
      </c>
      <c r="D26" s="19"/>
      <c r="E26" s="3"/>
      <c r="F26" s="132">
        <v>0</v>
      </c>
      <c r="G26" s="65"/>
      <c r="H26" s="65">
        <f t="shared" si="0"/>
        <v>0</v>
      </c>
      <c r="I26" s="132">
        <v>77456</v>
      </c>
      <c r="J26" s="66"/>
      <c r="K26" s="66">
        <f t="shared" si="1"/>
        <v>77456</v>
      </c>
      <c r="L26" s="132"/>
      <c r="M26" s="65"/>
      <c r="N26" s="65">
        <f t="shared" si="2"/>
        <v>0</v>
      </c>
      <c r="O26" s="132">
        <v>114580</v>
      </c>
      <c r="P26" s="66"/>
      <c r="Q26" s="66">
        <f t="shared" si="3"/>
        <v>114580</v>
      </c>
      <c r="R26" s="132">
        <v>97851</v>
      </c>
      <c r="S26" s="65"/>
      <c r="T26" s="65">
        <f t="shared" si="4"/>
        <v>97851</v>
      </c>
      <c r="U26" s="132">
        <v>0</v>
      </c>
      <c r="V26" s="66"/>
      <c r="W26" s="66">
        <f t="shared" si="5"/>
        <v>0</v>
      </c>
      <c r="X26" s="132"/>
      <c r="Y26" s="65"/>
      <c r="Z26" s="65">
        <f t="shared" si="6"/>
        <v>0</v>
      </c>
      <c r="AA26" s="132"/>
      <c r="AB26" s="66"/>
      <c r="AC26" s="66">
        <f t="shared" si="7"/>
        <v>0</v>
      </c>
      <c r="AD26" s="65"/>
      <c r="AE26" s="65"/>
      <c r="AF26" s="65">
        <f t="shared" si="8"/>
        <v>0</v>
      </c>
      <c r="AG26" s="66"/>
      <c r="AH26" s="66"/>
      <c r="AI26" s="66">
        <f t="shared" si="9"/>
        <v>0</v>
      </c>
      <c r="AJ26" s="65"/>
      <c r="AK26" s="65"/>
      <c r="AL26" s="65">
        <f t="shared" si="10"/>
        <v>0</v>
      </c>
      <c r="AM26" s="66"/>
      <c r="AN26" s="66"/>
      <c r="AO26" s="66">
        <f t="shared" ref="AO26:AO30" si="17">AM26+AN26</f>
        <v>0</v>
      </c>
    </row>
    <row r="27" spans="1:41" s="58" customFormat="1" ht="16.5" customHeight="1" x14ac:dyDescent="0.3">
      <c r="A27" s="68" t="s">
        <v>60</v>
      </c>
      <c r="B27" s="16"/>
      <c r="C27" s="14">
        <f>H27+K27+N27+Q27+T27+W27+Z27+AC27+AF27+AI27+AL27+AO27</f>
        <v>766297</v>
      </c>
      <c r="D27" s="19">
        <v>35000</v>
      </c>
      <c r="E27" s="3"/>
      <c r="F27" s="132">
        <v>448697</v>
      </c>
      <c r="G27" s="65"/>
      <c r="H27" s="65">
        <f t="shared" si="0"/>
        <v>448697</v>
      </c>
      <c r="I27" s="132">
        <v>56252</v>
      </c>
      <c r="J27" s="66"/>
      <c r="K27" s="66">
        <f t="shared" si="1"/>
        <v>56252</v>
      </c>
      <c r="L27" s="132">
        <v>0</v>
      </c>
      <c r="M27" s="65"/>
      <c r="N27" s="65">
        <f t="shared" si="2"/>
        <v>0</v>
      </c>
      <c r="O27" s="132">
        <v>162116</v>
      </c>
      <c r="P27" s="66"/>
      <c r="Q27" s="66">
        <f t="shared" si="3"/>
        <v>162116</v>
      </c>
      <c r="R27" s="132">
        <v>64846</v>
      </c>
      <c r="S27" s="65"/>
      <c r="T27" s="65">
        <f t="shared" si="4"/>
        <v>64846</v>
      </c>
      <c r="U27" s="132">
        <v>19129</v>
      </c>
      <c r="V27" s="66"/>
      <c r="W27" s="66">
        <f t="shared" si="5"/>
        <v>19129</v>
      </c>
      <c r="X27" s="132">
        <v>0</v>
      </c>
      <c r="Y27" s="65"/>
      <c r="Z27" s="65">
        <f t="shared" si="6"/>
        <v>0</v>
      </c>
      <c r="AA27" s="132">
        <v>15257</v>
      </c>
      <c r="AB27" s="66"/>
      <c r="AC27" s="66">
        <f t="shared" si="7"/>
        <v>15257</v>
      </c>
      <c r="AD27" s="65"/>
      <c r="AE27" s="65"/>
      <c r="AF27" s="65">
        <f t="shared" si="8"/>
        <v>0</v>
      </c>
      <c r="AG27" s="66"/>
      <c r="AH27" s="66"/>
      <c r="AI27" s="66">
        <f t="shared" si="9"/>
        <v>0</v>
      </c>
      <c r="AJ27" s="65"/>
      <c r="AK27" s="65"/>
      <c r="AL27" s="65">
        <f t="shared" si="10"/>
        <v>0</v>
      </c>
      <c r="AM27" s="66"/>
      <c r="AN27" s="66"/>
      <c r="AO27" s="66">
        <f t="shared" si="17"/>
        <v>0</v>
      </c>
    </row>
    <row r="28" spans="1:41" s="58" customFormat="1" ht="16.5" customHeight="1" x14ac:dyDescent="0.3">
      <c r="A28" s="68" t="s">
        <v>62</v>
      </c>
      <c r="B28" s="16"/>
      <c r="C28" s="14">
        <f>H28+K28+N28+Q28+T28+W28+Z28+AC28+AF28+AI28+AL28+AO28</f>
        <v>160003</v>
      </c>
      <c r="D28" s="19">
        <v>0</v>
      </c>
      <c r="E28" s="3"/>
      <c r="F28" s="132">
        <v>118727</v>
      </c>
      <c r="G28" s="65"/>
      <c r="H28" s="65">
        <f t="shared" si="0"/>
        <v>118727</v>
      </c>
      <c r="I28" s="132">
        <v>9376</v>
      </c>
      <c r="J28" s="66"/>
      <c r="K28" s="66">
        <f t="shared" si="1"/>
        <v>9376</v>
      </c>
      <c r="L28" s="132"/>
      <c r="M28" s="65"/>
      <c r="N28" s="65">
        <f t="shared" si="2"/>
        <v>0</v>
      </c>
      <c r="O28" s="132">
        <v>17700</v>
      </c>
      <c r="P28" s="66"/>
      <c r="Q28" s="66">
        <f t="shared" si="3"/>
        <v>17700</v>
      </c>
      <c r="R28" s="132">
        <v>14200</v>
      </c>
      <c r="S28" s="65"/>
      <c r="T28" s="65">
        <f t="shared" si="4"/>
        <v>14200</v>
      </c>
      <c r="U28" s="132"/>
      <c r="V28" s="66"/>
      <c r="W28" s="66">
        <f t="shared" si="5"/>
        <v>0</v>
      </c>
      <c r="X28" s="132"/>
      <c r="Y28" s="65"/>
      <c r="Z28" s="65">
        <f t="shared" si="6"/>
        <v>0</v>
      </c>
      <c r="AA28" s="132"/>
      <c r="AB28" s="66"/>
      <c r="AC28" s="66">
        <f t="shared" si="7"/>
        <v>0</v>
      </c>
      <c r="AD28" s="65"/>
      <c r="AE28" s="65"/>
      <c r="AF28" s="65">
        <f t="shared" si="8"/>
        <v>0</v>
      </c>
      <c r="AG28" s="66"/>
      <c r="AH28" s="66"/>
      <c r="AI28" s="66">
        <f t="shared" si="9"/>
        <v>0</v>
      </c>
      <c r="AJ28" s="65"/>
      <c r="AK28" s="65"/>
      <c r="AL28" s="65">
        <f t="shared" si="10"/>
        <v>0</v>
      </c>
      <c r="AM28" s="66"/>
      <c r="AN28" s="66"/>
      <c r="AO28" s="66">
        <f t="shared" si="17"/>
        <v>0</v>
      </c>
    </row>
    <row r="29" spans="1:41" s="58" customFormat="1" ht="16.5" customHeight="1" x14ac:dyDescent="0.3">
      <c r="A29" s="68" t="s">
        <v>61</v>
      </c>
      <c r="B29" s="16"/>
      <c r="C29" s="14">
        <f>H29+K29+N29+Q29+T29+W29+Z29+AC29+AF29+AI29+AL29+AO29</f>
        <v>85067</v>
      </c>
      <c r="D29" s="19">
        <v>45000</v>
      </c>
      <c r="E29" s="3"/>
      <c r="F29" s="132">
        <v>85067</v>
      </c>
      <c r="G29" s="65"/>
      <c r="H29" s="65">
        <f t="shared" si="0"/>
        <v>85067</v>
      </c>
      <c r="I29" s="132"/>
      <c r="J29" s="66"/>
      <c r="K29" s="66">
        <f t="shared" si="1"/>
        <v>0</v>
      </c>
      <c r="L29" s="132"/>
      <c r="M29" s="65"/>
      <c r="N29" s="65">
        <f t="shared" si="2"/>
        <v>0</v>
      </c>
      <c r="O29" s="132"/>
      <c r="P29" s="66"/>
      <c r="Q29" s="66">
        <f t="shared" si="3"/>
        <v>0</v>
      </c>
      <c r="R29" s="132"/>
      <c r="S29" s="65"/>
      <c r="T29" s="65">
        <f t="shared" si="4"/>
        <v>0</v>
      </c>
      <c r="U29" s="132"/>
      <c r="V29" s="66"/>
      <c r="W29" s="66">
        <f t="shared" si="5"/>
        <v>0</v>
      </c>
      <c r="X29" s="132"/>
      <c r="Y29" s="65"/>
      <c r="Z29" s="65">
        <f t="shared" si="6"/>
        <v>0</v>
      </c>
      <c r="AA29" s="132"/>
      <c r="AB29" s="66"/>
      <c r="AC29" s="66">
        <f t="shared" si="7"/>
        <v>0</v>
      </c>
      <c r="AD29" s="65"/>
      <c r="AE29" s="65"/>
      <c r="AF29" s="65">
        <f t="shared" si="8"/>
        <v>0</v>
      </c>
      <c r="AG29" s="66"/>
      <c r="AH29" s="66"/>
      <c r="AI29" s="66">
        <f t="shared" si="9"/>
        <v>0</v>
      </c>
      <c r="AJ29" s="65"/>
      <c r="AK29" s="65"/>
      <c r="AL29" s="65">
        <f t="shared" si="10"/>
        <v>0</v>
      </c>
      <c r="AM29" s="66"/>
      <c r="AN29" s="66"/>
      <c r="AO29" s="66">
        <f t="shared" si="17"/>
        <v>0</v>
      </c>
    </row>
    <row r="30" spans="1:41" s="58" customFormat="1" ht="17.25" x14ac:dyDescent="0.3">
      <c r="A30" s="68" t="s">
        <v>63</v>
      </c>
      <c r="B30" s="16"/>
      <c r="C30" s="14">
        <f>H30+K30+N30+Q30+T30+W30+Z30+AC30+AF30+AI30+AL30+AO30</f>
        <v>1743285</v>
      </c>
      <c r="D30" s="19">
        <v>20000</v>
      </c>
      <c r="E30" s="3"/>
      <c r="F30" s="132">
        <f>576810+137862</f>
        <v>714672</v>
      </c>
      <c r="G30" s="120">
        <v>-137862</v>
      </c>
      <c r="H30" s="65">
        <f t="shared" si="0"/>
        <v>576810</v>
      </c>
      <c r="I30" s="132">
        <v>337838</v>
      </c>
      <c r="J30" s="66"/>
      <c r="K30" s="66">
        <f t="shared" si="1"/>
        <v>337838</v>
      </c>
      <c r="L30" s="132"/>
      <c r="M30" s="65"/>
      <c r="N30" s="65">
        <f t="shared" si="2"/>
        <v>0</v>
      </c>
      <c r="O30" s="132">
        <v>552331</v>
      </c>
      <c r="P30" s="120">
        <v>0</v>
      </c>
      <c r="Q30" s="66">
        <f t="shared" si="3"/>
        <v>552331</v>
      </c>
      <c r="R30" s="132">
        <v>212766</v>
      </c>
      <c r="S30" s="120"/>
      <c r="T30" s="65">
        <f t="shared" si="4"/>
        <v>212766</v>
      </c>
      <c r="U30" s="132">
        <v>20426</v>
      </c>
      <c r="V30" s="66"/>
      <c r="W30" s="66">
        <f t="shared" si="5"/>
        <v>20426</v>
      </c>
      <c r="X30" s="132">
        <v>38300</v>
      </c>
      <c r="Y30" s="65"/>
      <c r="Z30" s="65">
        <f t="shared" si="6"/>
        <v>38300</v>
      </c>
      <c r="AA30" s="132">
        <v>4215</v>
      </c>
      <c r="AB30" s="66"/>
      <c r="AC30" s="66">
        <f t="shared" si="7"/>
        <v>4215</v>
      </c>
      <c r="AD30" s="65">
        <v>599</v>
      </c>
      <c r="AE30" s="120"/>
      <c r="AF30" s="65">
        <f t="shared" si="8"/>
        <v>599</v>
      </c>
      <c r="AG30" s="66"/>
      <c r="AH30" s="66"/>
      <c r="AI30" s="66">
        <f t="shared" si="9"/>
        <v>0</v>
      </c>
      <c r="AJ30" s="65"/>
      <c r="AK30" s="65"/>
      <c r="AL30" s="65">
        <f t="shared" si="10"/>
        <v>0</v>
      </c>
      <c r="AM30" s="66"/>
      <c r="AN30" s="66"/>
      <c r="AO30" s="66">
        <f t="shared" si="17"/>
        <v>0</v>
      </c>
    </row>
    <row r="31" spans="1:41" s="58" customFormat="1" ht="17.25" x14ac:dyDescent="0.3">
      <c r="A31" s="4" t="s">
        <v>7</v>
      </c>
      <c r="B31" s="16"/>
      <c r="C31" s="17">
        <f>SUM(C26:C30)</f>
        <v>3044539</v>
      </c>
      <c r="D31" s="17">
        <f>SUM(D27:D30)</f>
        <v>100000</v>
      </c>
      <c r="E31" s="3"/>
      <c r="F31" s="17">
        <f t="shared" ref="F31:AO31" si="18">SUM(F26:F30)</f>
        <v>1367163</v>
      </c>
      <c r="G31" s="17">
        <f t="shared" si="18"/>
        <v>-137862</v>
      </c>
      <c r="H31" s="17">
        <f t="shared" si="18"/>
        <v>1229301</v>
      </c>
      <c r="I31" s="17">
        <f t="shared" si="18"/>
        <v>480922</v>
      </c>
      <c r="J31" s="17">
        <f t="shared" si="18"/>
        <v>0</v>
      </c>
      <c r="K31" s="17">
        <f t="shared" si="18"/>
        <v>480922</v>
      </c>
      <c r="L31" s="17">
        <f t="shared" si="18"/>
        <v>0</v>
      </c>
      <c r="M31" s="17">
        <f t="shared" si="18"/>
        <v>0</v>
      </c>
      <c r="N31" s="17">
        <f t="shared" si="18"/>
        <v>0</v>
      </c>
      <c r="O31" s="17">
        <f t="shared" si="18"/>
        <v>846727</v>
      </c>
      <c r="P31" s="17">
        <f t="shared" si="18"/>
        <v>0</v>
      </c>
      <c r="Q31" s="17">
        <f t="shared" si="18"/>
        <v>846727</v>
      </c>
      <c r="R31" s="17">
        <f t="shared" si="18"/>
        <v>389663</v>
      </c>
      <c r="S31" s="17">
        <f t="shared" si="18"/>
        <v>0</v>
      </c>
      <c r="T31" s="17">
        <f t="shared" si="18"/>
        <v>389663</v>
      </c>
      <c r="U31" s="17">
        <f t="shared" si="18"/>
        <v>39555</v>
      </c>
      <c r="V31" s="17">
        <f t="shared" si="18"/>
        <v>0</v>
      </c>
      <c r="W31" s="17">
        <f t="shared" si="18"/>
        <v>39555</v>
      </c>
      <c r="X31" s="17">
        <f t="shared" si="18"/>
        <v>38300</v>
      </c>
      <c r="Y31" s="17">
        <f t="shared" si="18"/>
        <v>0</v>
      </c>
      <c r="Z31" s="17">
        <f t="shared" si="18"/>
        <v>38300</v>
      </c>
      <c r="AA31" s="17">
        <f t="shared" si="18"/>
        <v>19472</v>
      </c>
      <c r="AB31" s="17">
        <f t="shared" si="18"/>
        <v>0</v>
      </c>
      <c r="AC31" s="17">
        <f t="shared" si="18"/>
        <v>19472</v>
      </c>
      <c r="AD31" s="17">
        <f t="shared" si="18"/>
        <v>599</v>
      </c>
      <c r="AE31" s="17">
        <f t="shared" si="18"/>
        <v>0</v>
      </c>
      <c r="AF31" s="17">
        <f t="shared" si="18"/>
        <v>599</v>
      </c>
      <c r="AG31" s="17">
        <f t="shared" si="18"/>
        <v>0</v>
      </c>
      <c r="AH31" s="17">
        <f t="shared" si="18"/>
        <v>0</v>
      </c>
      <c r="AI31" s="17">
        <f t="shared" si="18"/>
        <v>0</v>
      </c>
      <c r="AJ31" s="17">
        <f t="shared" si="18"/>
        <v>0</v>
      </c>
      <c r="AK31" s="17">
        <f t="shared" si="18"/>
        <v>0</v>
      </c>
      <c r="AL31" s="17">
        <f t="shared" si="18"/>
        <v>0</v>
      </c>
      <c r="AM31" s="17">
        <f t="shared" si="18"/>
        <v>0</v>
      </c>
      <c r="AN31" s="17">
        <f t="shared" si="18"/>
        <v>0</v>
      </c>
      <c r="AO31" s="17">
        <f t="shared" si="18"/>
        <v>0</v>
      </c>
    </row>
    <row r="32" spans="1:41" s="58" customFormat="1" ht="17.25" x14ac:dyDescent="0.3">
      <c r="A32" s="15"/>
      <c r="B32" s="16"/>
      <c r="C32" s="20"/>
      <c r="D32" s="20"/>
      <c r="E32" s="3"/>
      <c r="F32" s="65"/>
      <c r="G32" s="65"/>
      <c r="H32" s="65">
        <f t="shared" si="0"/>
        <v>0</v>
      </c>
      <c r="I32" s="66"/>
      <c r="J32" s="66"/>
      <c r="K32" s="66">
        <f t="shared" si="1"/>
        <v>0</v>
      </c>
      <c r="L32" s="65"/>
      <c r="M32" s="65"/>
      <c r="N32" s="65">
        <f t="shared" si="2"/>
        <v>0</v>
      </c>
      <c r="O32" s="66"/>
      <c r="P32" s="66"/>
      <c r="Q32" s="66">
        <f t="shared" si="3"/>
        <v>0</v>
      </c>
      <c r="R32" s="65"/>
      <c r="S32" s="65"/>
      <c r="T32" s="65">
        <f t="shared" si="4"/>
        <v>0</v>
      </c>
      <c r="U32" s="66"/>
      <c r="V32" s="66"/>
      <c r="W32" s="66">
        <f t="shared" si="5"/>
        <v>0</v>
      </c>
      <c r="X32" s="65"/>
      <c r="Y32" s="65"/>
      <c r="Z32" s="65">
        <f t="shared" si="6"/>
        <v>0</v>
      </c>
      <c r="AA32" s="66"/>
      <c r="AB32" s="66"/>
      <c r="AC32" s="66">
        <f t="shared" si="7"/>
        <v>0</v>
      </c>
      <c r="AD32" s="65"/>
      <c r="AE32" s="65"/>
      <c r="AF32" s="65">
        <f t="shared" si="8"/>
        <v>0</v>
      </c>
      <c r="AG32" s="66"/>
      <c r="AH32" s="66"/>
      <c r="AI32" s="66">
        <f t="shared" si="9"/>
        <v>0</v>
      </c>
      <c r="AJ32" s="65"/>
      <c r="AK32" s="65"/>
      <c r="AL32" s="65">
        <f t="shared" si="10"/>
        <v>0</v>
      </c>
      <c r="AM32" s="66"/>
      <c r="AN32" s="66"/>
      <c r="AO32" s="66">
        <f t="shared" ref="AO32" si="19">AM32+AN32</f>
        <v>0</v>
      </c>
    </row>
    <row r="33" spans="1:41" s="58" customFormat="1" ht="17.25" x14ac:dyDescent="0.3">
      <c r="A33" s="4" t="s">
        <v>8</v>
      </c>
      <c r="B33" s="16"/>
      <c r="C33" s="21">
        <f>C22-C31</f>
        <v>441708</v>
      </c>
      <c r="D33" s="21">
        <f>D22-D31</f>
        <v>280000</v>
      </c>
      <c r="E33" s="3"/>
      <c r="F33" s="21">
        <f t="shared" ref="F33:AO33" si="20">F22-F31</f>
        <v>423422</v>
      </c>
      <c r="G33" s="21">
        <f t="shared" si="20"/>
        <v>37862</v>
      </c>
      <c r="H33" s="21">
        <f t="shared" si="20"/>
        <v>461284</v>
      </c>
      <c r="I33" s="21">
        <f t="shared" si="20"/>
        <v>-64053</v>
      </c>
      <c r="J33" s="21">
        <f t="shared" si="20"/>
        <v>-45954</v>
      </c>
      <c r="K33" s="21">
        <f t="shared" si="20"/>
        <v>-110007</v>
      </c>
      <c r="L33" s="21">
        <f t="shared" si="20"/>
        <v>0</v>
      </c>
      <c r="M33" s="21">
        <f t="shared" si="20"/>
        <v>0</v>
      </c>
      <c r="N33" s="21">
        <f t="shared" si="20"/>
        <v>0</v>
      </c>
      <c r="O33" s="21">
        <f t="shared" si="20"/>
        <v>-51673</v>
      </c>
      <c r="P33" s="21">
        <f t="shared" si="20"/>
        <v>-265239</v>
      </c>
      <c r="Q33" s="21">
        <f t="shared" si="20"/>
        <v>-316912</v>
      </c>
      <c r="R33" s="21">
        <f t="shared" si="20"/>
        <v>366248</v>
      </c>
      <c r="S33" s="21">
        <f t="shared" si="20"/>
        <v>0</v>
      </c>
      <c r="T33" s="21">
        <f t="shared" si="20"/>
        <v>366248</v>
      </c>
      <c r="U33" s="21">
        <f t="shared" si="20"/>
        <v>18172</v>
      </c>
      <c r="V33" s="21">
        <f t="shared" si="20"/>
        <v>-18981</v>
      </c>
      <c r="W33" s="21">
        <f t="shared" si="20"/>
        <v>-809</v>
      </c>
      <c r="X33" s="21">
        <f t="shared" si="20"/>
        <v>14200</v>
      </c>
      <c r="Y33" s="21">
        <f t="shared" si="20"/>
        <v>0</v>
      </c>
      <c r="Z33" s="21">
        <f t="shared" si="20"/>
        <v>14200</v>
      </c>
      <c r="AA33" s="21">
        <f t="shared" si="20"/>
        <v>4453</v>
      </c>
      <c r="AB33" s="21">
        <f t="shared" si="20"/>
        <v>0</v>
      </c>
      <c r="AC33" s="21">
        <f t="shared" si="20"/>
        <v>4453</v>
      </c>
      <c r="AD33" s="21">
        <f t="shared" si="20"/>
        <v>23251</v>
      </c>
      <c r="AE33" s="21">
        <f t="shared" si="20"/>
        <v>0</v>
      </c>
      <c r="AF33" s="21">
        <f t="shared" si="20"/>
        <v>23251</v>
      </c>
      <c r="AG33" s="21">
        <f t="shared" si="20"/>
        <v>0</v>
      </c>
      <c r="AH33" s="21">
        <f t="shared" si="20"/>
        <v>0</v>
      </c>
      <c r="AI33" s="21">
        <f t="shared" si="20"/>
        <v>0</v>
      </c>
      <c r="AJ33" s="21">
        <f t="shared" si="20"/>
        <v>0</v>
      </c>
      <c r="AK33" s="21">
        <f t="shared" si="20"/>
        <v>0</v>
      </c>
      <c r="AL33" s="21">
        <f t="shared" si="20"/>
        <v>0</v>
      </c>
      <c r="AM33" s="21">
        <f t="shared" si="20"/>
        <v>0</v>
      </c>
      <c r="AN33" s="21">
        <f t="shared" si="20"/>
        <v>0</v>
      </c>
      <c r="AO33" s="21">
        <f t="shared" si="20"/>
        <v>0</v>
      </c>
    </row>
    <row r="34" spans="1:41" s="58" customFormat="1" ht="23.1" customHeight="1" x14ac:dyDescent="0.3">
      <c r="A34" s="22"/>
      <c r="B34" s="16"/>
      <c r="C34" s="18"/>
      <c r="D34" s="18"/>
      <c r="E34" s="3"/>
      <c r="F34" s="65"/>
      <c r="G34" s="65"/>
      <c r="H34" s="65"/>
      <c r="I34" s="66"/>
      <c r="J34" s="66"/>
      <c r="K34" s="66"/>
      <c r="L34" s="65"/>
      <c r="M34" s="65"/>
      <c r="N34" s="65"/>
      <c r="O34" s="66"/>
      <c r="P34" s="66"/>
      <c r="Q34" s="66"/>
      <c r="R34" s="65"/>
      <c r="S34" s="65"/>
      <c r="T34" s="65"/>
      <c r="U34" s="66"/>
      <c r="V34" s="66"/>
      <c r="W34" s="66"/>
      <c r="X34" s="65"/>
      <c r="Y34" s="65"/>
      <c r="Z34" s="65"/>
      <c r="AA34" s="66"/>
      <c r="AB34" s="66"/>
      <c r="AC34" s="66"/>
      <c r="AD34" s="65"/>
      <c r="AE34" s="65"/>
      <c r="AF34" s="65"/>
      <c r="AG34" s="66"/>
      <c r="AH34" s="66"/>
      <c r="AI34" s="66"/>
      <c r="AJ34" s="65"/>
      <c r="AK34" s="65"/>
      <c r="AL34" s="65"/>
      <c r="AM34" s="66"/>
      <c r="AN34" s="66"/>
      <c r="AO34" s="66"/>
    </row>
    <row r="35" spans="1:41" s="58" customFormat="1" ht="17.25" x14ac:dyDescent="0.3">
      <c r="A35" s="4" t="s">
        <v>9</v>
      </c>
      <c r="B35" s="16"/>
      <c r="C35" s="19"/>
      <c r="D35" s="19"/>
      <c r="E35" s="3"/>
      <c r="F35" s="65"/>
      <c r="G35" s="65"/>
      <c r="H35" s="65"/>
      <c r="I35" s="66"/>
      <c r="J35" s="66"/>
      <c r="K35" s="66"/>
      <c r="L35" s="65"/>
      <c r="M35" s="65"/>
      <c r="N35" s="65"/>
      <c r="O35" s="66"/>
      <c r="P35" s="66"/>
      <c r="Q35" s="66"/>
      <c r="R35" s="65"/>
      <c r="S35" s="65"/>
      <c r="T35" s="65"/>
      <c r="U35" s="66"/>
      <c r="V35" s="66"/>
      <c r="W35" s="66"/>
      <c r="X35" s="65"/>
      <c r="Y35" s="65"/>
      <c r="Z35" s="65"/>
      <c r="AA35" s="66"/>
      <c r="AB35" s="66"/>
      <c r="AC35" s="66"/>
      <c r="AD35" s="65"/>
      <c r="AE35" s="65"/>
      <c r="AF35" s="65"/>
      <c r="AG35" s="66"/>
      <c r="AH35" s="66"/>
      <c r="AI35" s="66"/>
      <c r="AJ35" s="65"/>
      <c r="AK35" s="65"/>
      <c r="AL35" s="65"/>
      <c r="AM35" s="66"/>
      <c r="AN35" s="66"/>
      <c r="AO35" s="66"/>
    </row>
    <row r="36" spans="1:41" s="58" customFormat="1" ht="9.9499999999999993" customHeight="1" x14ac:dyDescent="0.3">
      <c r="A36" s="4"/>
      <c r="B36" s="16"/>
      <c r="C36" s="19"/>
      <c r="D36" s="19"/>
      <c r="E36" s="3"/>
      <c r="F36" s="65"/>
      <c r="G36" s="65"/>
      <c r="H36" s="65"/>
      <c r="I36" s="66"/>
      <c r="J36" s="66"/>
      <c r="K36" s="66"/>
      <c r="L36" s="65"/>
      <c r="M36" s="65"/>
      <c r="N36" s="65"/>
      <c r="O36" s="66"/>
      <c r="P36" s="66"/>
      <c r="Q36" s="66"/>
      <c r="R36" s="65"/>
      <c r="S36" s="65"/>
      <c r="T36" s="65"/>
      <c r="U36" s="66"/>
      <c r="V36" s="66"/>
      <c r="W36" s="66"/>
      <c r="X36" s="65"/>
      <c r="Y36" s="65"/>
      <c r="Z36" s="65"/>
      <c r="AA36" s="66"/>
      <c r="AB36" s="66"/>
      <c r="AC36" s="66"/>
      <c r="AD36" s="65"/>
      <c r="AE36" s="65"/>
      <c r="AF36" s="65"/>
      <c r="AG36" s="66"/>
      <c r="AH36" s="66"/>
      <c r="AI36" s="66"/>
      <c r="AJ36" s="65"/>
      <c r="AK36" s="65"/>
      <c r="AL36" s="65"/>
      <c r="AM36" s="66"/>
      <c r="AN36" s="66"/>
      <c r="AO36" s="66"/>
    </row>
    <row r="37" spans="1:41" s="58" customFormat="1" ht="17.25" x14ac:dyDescent="0.3">
      <c r="A37" s="15" t="s">
        <v>10</v>
      </c>
      <c r="B37" s="16"/>
      <c r="C37" s="14">
        <f>H37+K37+N37+Q37+T37+W37+Z37+AC37+AF37+AI37+AL37+AO37</f>
        <v>10280</v>
      </c>
      <c r="D37" s="19">
        <v>0</v>
      </c>
      <c r="E37" s="3"/>
      <c r="F37" s="132">
        <v>317</v>
      </c>
      <c r="G37" s="65"/>
      <c r="H37" s="65">
        <f t="shared" si="0"/>
        <v>317</v>
      </c>
      <c r="I37" s="132">
        <v>905</v>
      </c>
      <c r="J37" s="66"/>
      <c r="K37" s="66">
        <f t="shared" si="1"/>
        <v>905</v>
      </c>
      <c r="L37" s="132">
        <v>0</v>
      </c>
      <c r="M37" s="65"/>
      <c r="N37" s="65">
        <f t="shared" si="2"/>
        <v>0</v>
      </c>
      <c r="O37" s="132">
        <v>272</v>
      </c>
      <c r="P37" s="66"/>
      <c r="Q37" s="66">
        <f t="shared" si="3"/>
        <v>272</v>
      </c>
      <c r="R37" s="132">
        <v>8484</v>
      </c>
      <c r="S37" s="65"/>
      <c r="T37" s="65">
        <f t="shared" si="4"/>
        <v>8484</v>
      </c>
      <c r="U37" s="132">
        <v>92</v>
      </c>
      <c r="V37" s="66"/>
      <c r="W37" s="66">
        <f t="shared" si="5"/>
        <v>92</v>
      </c>
      <c r="X37" s="132">
        <v>92</v>
      </c>
      <c r="Y37" s="65"/>
      <c r="Z37" s="65">
        <f t="shared" si="6"/>
        <v>92</v>
      </c>
      <c r="AA37" s="132">
        <v>97</v>
      </c>
      <c r="AB37" s="66"/>
      <c r="AC37" s="66">
        <f t="shared" si="7"/>
        <v>97</v>
      </c>
      <c r="AD37" s="65">
        <v>21</v>
      </c>
      <c r="AE37" s="65"/>
      <c r="AF37" s="65">
        <f t="shared" si="8"/>
        <v>21</v>
      </c>
      <c r="AG37" s="66"/>
      <c r="AH37" s="66"/>
      <c r="AI37" s="66">
        <f t="shared" si="9"/>
        <v>0</v>
      </c>
      <c r="AJ37" s="65"/>
      <c r="AK37" s="65"/>
      <c r="AL37" s="65">
        <f t="shared" si="10"/>
        <v>0</v>
      </c>
      <c r="AM37" s="66"/>
      <c r="AN37" s="66"/>
      <c r="AO37" s="66">
        <f t="shared" ref="AO37:AO39" si="21">AM37+AN37</f>
        <v>0</v>
      </c>
    </row>
    <row r="38" spans="1:41" s="58" customFormat="1" ht="17.25" x14ac:dyDescent="0.3">
      <c r="A38" s="68" t="s">
        <v>64</v>
      </c>
      <c r="B38" s="16"/>
      <c r="C38" s="14">
        <f>H38+K38+N38+Q38+T38+W38+Z38+AC38+AF38+AI38+AL38+AO38</f>
        <v>85</v>
      </c>
      <c r="D38" s="19"/>
      <c r="E38" s="3"/>
      <c r="F38" s="132">
        <v>0</v>
      </c>
      <c r="G38" s="65"/>
      <c r="H38" s="65">
        <f t="shared" si="0"/>
        <v>0</v>
      </c>
      <c r="I38" s="132">
        <v>85</v>
      </c>
      <c r="J38" s="66"/>
      <c r="K38" s="66">
        <f t="shared" si="1"/>
        <v>85</v>
      </c>
      <c r="L38" s="132"/>
      <c r="M38" s="65"/>
      <c r="N38" s="65">
        <f t="shared" si="2"/>
        <v>0</v>
      </c>
      <c r="O38" s="132">
        <v>0</v>
      </c>
      <c r="P38" s="66"/>
      <c r="Q38" s="66">
        <f t="shared" si="3"/>
        <v>0</v>
      </c>
      <c r="R38" s="132">
        <v>0</v>
      </c>
      <c r="S38" s="65"/>
      <c r="T38" s="65">
        <f t="shared" si="4"/>
        <v>0</v>
      </c>
      <c r="U38" s="132">
        <v>0</v>
      </c>
      <c r="V38" s="66"/>
      <c r="W38" s="66">
        <f t="shared" si="5"/>
        <v>0</v>
      </c>
      <c r="X38" s="132">
        <v>0</v>
      </c>
      <c r="Y38" s="65"/>
      <c r="Z38" s="65">
        <f t="shared" si="6"/>
        <v>0</v>
      </c>
      <c r="AA38" s="132"/>
      <c r="AB38" s="66"/>
      <c r="AC38" s="66">
        <f t="shared" si="7"/>
        <v>0</v>
      </c>
      <c r="AD38" s="65"/>
      <c r="AE38" s="65"/>
      <c r="AF38" s="65">
        <f t="shared" si="8"/>
        <v>0</v>
      </c>
      <c r="AG38" s="66"/>
      <c r="AH38" s="66"/>
      <c r="AI38" s="66">
        <f t="shared" si="9"/>
        <v>0</v>
      </c>
      <c r="AJ38" s="65"/>
      <c r="AK38" s="65"/>
      <c r="AL38" s="65">
        <f t="shared" si="10"/>
        <v>0</v>
      </c>
      <c r="AM38" s="66"/>
      <c r="AN38" s="66"/>
      <c r="AO38" s="66">
        <f t="shared" si="21"/>
        <v>0</v>
      </c>
    </row>
    <row r="39" spans="1:41" s="58" customFormat="1" ht="17.25" x14ac:dyDescent="0.3">
      <c r="A39" s="68" t="s">
        <v>65</v>
      </c>
      <c r="B39" s="16"/>
      <c r="C39" s="14">
        <f>H39+K39+N39+Q39+T39+W39+Z39+AC39+AF39+AI39+AL39+AO39</f>
        <v>0</v>
      </c>
      <c r="D39" s="19"/>
      <c r="E39" s="3"/>
      <c r="F39" s="132"/>
      <c r="G39" s="65"/>
      <c r="H39" s="65">
        <f t="shared" si="0"/>
        <v>0</v>
      </c>
      <c r="I39" s="132"/>
      <c r="J39" s="66"/>
      <c r="K39" s="66">
        <f t="shared" si="1"/>
        <v>0</v>
      </c>
      <c r="L39" s="132"/>
      <c r="M39" s="65"/>
      <c r="N39" s="65">
        <f t="shared" si="2"/>
        <v>0</v>
      </c>
      <c r="O39" s="132"/>
      <c r="P39" s="66"/>
      <c r="Q39" s="66">
        <f t="shared" si="3"/>
        <v>0</v>
      </c>
      <c r="R39" s="132"/>
      <c r="S39" s="65"/>
      <c r="T39" s="65">
        <f t="shared" si="4"/>
        <v>0</v>
      </c>
      <c r="U39" s="132"/>
      <c r="V39" s="66"/>
      <c r="W39" s="66">
        <f t="shared" si="5"/>
        <v>0</v>
      </c>
      <c r="X39" s="132"/>
      <c r="Y39" s="65"/>
      <c r="Z39" s="65">
        <f t="shared" si="6"/>
        <v>0</v>
      </c>
      <c r="AA39" s="132"/>
      <c r="AB39" s="66"/>
      <c r="AC39" s="66">
        <f t="shared" si="7"/>
        <v>0</v>
      </c>
      <c r="AD39" s="65"/>
      <c r="AE39" s="65"/>
      <c r="AF39" s="65">
        <f t="shared" si="8"/>
        <v>0</v>
      </c>
      <c r="AG39" s="66"/>
      <c r="AH39" s="66"/>
      <c r="AI39" s="66">
        <f t="shared" si="9"/>
        <v>0</v>
      </c>
      <c r="AJ39" s="65"/>
      <c r="AK39" s="65"/>
      <c r="AL39" s="65">
        <f t="shared" si="10"/>
        <v>0</v>
      </c>
      <c r="AM39" s="66"/>
      <c r="AN39" s="66"/>
      <c r="AO39" s="66">
        <f t="shared" si="21"/>
        <v>0</v>
      </c>
    </row>
    <row r="40" spans="1:41" s="58" customFormat="1" ht="21.95" customHeight="1" x14ac:dyDescent="0.3">
      <c r="A40" s="4" t="s">
        <v>11</v>
      </c>
      <c r="B40" s="16"/>
      <c r="C40" s="17">
        <f>C37-C38-C39</f>
        <v>10195</v>
      </c>
      <c r="D40" s="17">
        <f>SUM(D37:D37)</f>
        <v>0</v>
      </c>
      <c r="E40" s="3"/>
      <c r="F40" s="17">
        <f t="shared" ref="F40:AO40" si="22">F37-F38-F39</f>
        <v>317</v>
      </c>
      <c r="G40" s="17">
        <f t="shared" si="22"/>
        <v>0</v>
      </c>
      <c r="H40" s="17">
        <f t="shared" si="22"/>
        <v>317</v>
      </c>
      <c r="I40" s="17">
        <f t="shared" si="22"/>
        <v>820</v>
      </c>
      <c r="J40" s="17">
        <f t="shared" si="22"/>
        <v>0</v>
      </c>
      <c r="K40" s="17">
        <f t="shared" si="22"/>
        <v>820</v>
      </c>
      <c r="L40" s="17">
        <f t="shared" si="22"/>
        <v>0</v>
      </c>
      <c r="M40" s="17">
        <f t="shared" si="22"/>
        <v>0</v>
      </c>
      <c r="N40" s="17">
        <f t="shared" si="22"/>
        <v>0</v>
      </c>
      <c r="O40" s="17">
        <f t="shared" si="22"/>
        <v>272</v>
      </c>
      <c r="P40" s="17">
        <f t="shared" si="22"/>
        <v>0</v>
      </c>
      <c r="Q40" s="17">
        <f t="shared" si="22"/>
        <v>272</v>
      </c>
      <c r="R40" s="17">
        <f t="shared" si="22"/>
        <v>8484</v>
      </c>
      <c r="S40" s="17">
        <f t="shared" si="22"/>
        <v>0</v>
      </c>
      <c r="T40" s="17">
        <f t="shared" si="22"/>
        <v>8484</v>
      </c>
      <c r="U40" s="17">
        <f t="shared" si="22"/>
        <v>92</v>
      </c>
      <c r="V40" s="17">
        <f t="shared" si="22"/>
        <v>0</v>
      </c>
      <c r="W40" s="17">
        <f t="shared" si="22"/>
        <v>92</v>
      </c>
      <c r="X40" s="17">
        <f t="shared" si="22"/>
        <v>92</v>
      </c>
      <c r="Y40" s="17">
        <f t="shared" si="22"/>
        <v>0</v>
      </c>
      <c r="Z40" s="17">
        <f t="shared" si="22"/>
        <v>92</v>
      </c>
      <c r="AA40" s="17">
        <f t="shared" si="22"/>
        <v>97</v>
      </c>
      <c r="AB40" s="17">
        <f t="shared" si="22"/>
        <v>0</v>
      </c>
      <c r="AC40" s="17">
        <f t="shared" si="22"/>
        <v>97</v>
      </c>
      <c r="AD40" s="17">
        <f t="shared" si="22"/>
        <v>21</v>
      </c>
      <c r="AE40" s="17">
        <f t="shared" si="22"/>
        <v>0</v>
      </c>
      <c r="AF40" s="17">
        <f t="shared" si="22"/>
        <v>21</v>
      </c>
      <c r="AG40" s="17">
        <f t="shared" si="22"/>
        <v>0</v>
      </c>
      <c r="AH40" s="17">
        <f t="shared" si="22"/>
        <v>0</v>
      </c>
      <c r="AI40" s="17">
        <f t="shared" si="22"/>
        <v>0</v>
      </c>
      <c r="AJ40" s="17">
        <f t="shared" si="22"/>
        <v>0</v>
      </c>
      <c r="AK40" s="17">
        <f t="shared" si="22"/>
        <v>0</v>
      </c>
      <c r="AL40" s="17">
        <f t="shared" si="22"/>
        <v>0</v>
      </c>
      <c r="AM40" s="17">
        <f t="shared" si="22"/>
        <v>0</v>
      </c>
      <c r="AN40" s="17">
        <f t="shared" si="22"/>
        <v>0</v>
      </c>
      <c r="AO40" s="17">
        <f t="shared" si="22"/>
        <v>0</v>
      </c>
    </row>
    <row r="41" spans="1:41" s="58" customFormat="1" ht="17.25" x14ac:dyDescent="0.3">
      <c r="A41" s="15"/>
      <c r="B41" s="16"/>
      <c r="C41" s="18"/>
      <c r="D41" s="18"/>
      <c r="E41" s="3"/>
      <c r="F41" s="65"/>
      <c r="G41" s="65"/>
      <c r="H41" s="65">
        <f t="shared" si="0"/>
        <v>0</v>
      </c>
      <c r="I41" s="66"/>
      <c r="J41" s="66"/>
      <c r="K41" s="66">
        <f t="shared" si="1"/>
        <v>0</v>
      </c>
      <c r="L41" s="65"/>
      <c r="M41" s="65"/>
      <c r="N41" s="65">
        <f t="shared" si="2"/>
        <v>0</v>
      </c>
      <c r="O41" s="66"/>
      <c r="P41" s="66"/>
      <c r="Q41" s="66">
        <f t="shared" si="3"/>
        <v>0</v>
      </c>
      <c r="R41" s="65"/>
      <c r="S41" s="65"/>
      <c r="T41" s="65">
        <f t="shared" si="4"/>
        <v>0</v>
      </c>
      <c r="U41" s="66"/>
      <c r="V41" s="66"/>
      <c r="W41" s="66">
        <f t="shared" si="5"/>
        <v>0</v>
      </c>
      <c r="X41" s="65"/>
      <c r="Y41" s="65"/>
      <c r="Z41" s="65">
        <f t="shared" si="6"/>
        <v>0</v>
      </c>
      <c r="AA41" s="66"/>
      <c r="AB41" s="66"/>
      <c r="AC41" s="66">
        <f t="shared" si="7"/>
        <v>0</v>
      </c>
      <c r="AD41" s="65"/>
      <c r="AE41" s="65"/>
      <c r="AF41" s="65">
        <f t="shared" si="8"/>
        <v>0</v>
      </c>
      <c r="AG41" s="66"/>
      <c r="AH41" s="66"/>
      <c r="AI41" s="66">
        <f t="shared" si="9"/>
        <v>0</v>
      </c>
      <c r="AJ41" s="65"/>
      <c r="AK41" s="65"/>
      <c r="AL41" s="65">
        <f t="shared" si="10"/>
        <v>0</v>
      </c>
      <c r="AM41" s="66"/>
      <c r="AN41" s="66"/>
      <c r="AO41" s="66">
        <f t="shared" ref="AO41" si="23">AM41+AN41</f>
        <v>0</v>
      </c>
    </row>
    <row r="42" spans="1:41" s="58" customFormat="1" ht="18" thickBot="1" x14ac:dyDescent="0.35">
      <c r="A42" s="4" t="s">
        <v>12</v>
      </c>
      <c r="B42" s="16"/>
      <c r="C42" s="23">
        <f>C33+C40</f>
        <v>451903</v>
      </c>
      <c r="D42" s="23">
        <f>D33+D40</f>
        <v>280000</v>
      </c>
      <c r="E42" s="3"/>
      <c r="F42" s="23">
        <f t="shared" ref="F42:AO42" si="24">F33+F40</f>
        <v>423739</v>
      </c>
      <c r="G42" s="23">
        <f t="shared" si="24"/>
        <v>37862</v>
      </c>
      <c r="H42" s="23">
        <f t="shared" si="24"/>
        <v>461601</v>
      </c>
      <c r="I42" s="23">
        <f t="shared" si="24"/>
        <v>-63233</v>
      </c>
      <c r="J42" s="23">
        <f t="shared" si="24"/>
        <v>-45954</v>
      </c>
      <c r="K42" s="23">
        <f t="shared" si="24"/>
        <v>-109187</v>
      </c>
      <c r="L42" s="23">
        <f t="shared" si="24"/>
        <v>0</v>
      </c>
      <c r="M42" s="23">
        <f t="shared" si="24"/>
        <v>0</v>
      </c>
      <c r="N42" s="23">
        <f t="shared" si="24"/>
        <v>0</v>
      </c>
      <c r="O42" s="23">
        <f t="shared" si="24"/>
        <v>-51401</v>
      </c>
      <c r="P42" s="23">
        <f t="shared" si="24"/>
        <v>-265239</v>
      </c>
      <c r="Q42" s="23">
        <f t="shared" si="24"/>
        <v>-316640</v>
      </c>
      <c r="R42" s="23">
        <f t="shared" si="24"/>
        <v>374732</v>
      </c>
      <c r="S42" s="23">
        <f t="shared" si="24"/>
        <v>0</v>
      </c>
      <c r="T42" s="23">
        <f t="shared" si="24"/>
        <v>374732</v>
      </c>
      <c r="U42" s="23">
        <f t="shared" si="24"/>
        <v>18264</v>
      </c>
      <c r="V42" s="23">
        <f t="shared" si="24"/>
        <v>-18981</v>
      </c>
      <c r="W42" s="23">
        <f t="shared" si="24"/>
        <v>-717</v>
      </c>
      <c r="X42" s="23">
        <f t="shared" si="24"/>
        <v>14292</v>
      </c>
      <c r="Y42" s="23">
        <f t="shared" si="24"/>
        <v>0</v>
      </c>
      <c r="Z42" s="23">
        <f t="shared" si="24"/>
        <v>14292</v>
      </c>
      <c r="AA42" s="23">
        <f t="shared" si="24"/>
        <v>4550</v>
      </c>
      <c r="AB42" s="23">
        <f t="shared" si="24"/>
        <v>0</v>
      </c>
      <c r="AC42" s="23">
        <f t="shared" si="24"/>
        <v>4550</v>
      </c>
      <c r="AD42" s="23">
        <f t="shared" si="24"/>
        <v>23272</v>
      </c>
      <c r="AE42" s="23">
        <f t="shared" si="24"/>
        <v>0</v>
      </c>
      <c r="AF42" s="23">
        <f t="shared" si="24"/>
        <v>23272</v>
      </c>
      <c r="AG42" s="23">
        <f t="shared" si="24"/>
        <v>0</v>
      </c>
      <c r="AH42" s="23">
        <f t="shared" si="24"/>
        <v>0</v>
      </c>
      <c r="AI42" s="23">
        <f t="shared" si="24"/>
        <v>0</v>
      </c>
      <c r="AJ42" s="23">
        <f t="shared" si="24"/>
        <v>0</v>
      </c>
      <c r="AK42" s="23">
        <f t="shared" si="24"/>
        <v>0</v>
      </c>
      <c r="AL42" s="23">
        <f t="shared" si="24"/>
        <v>0</v>
      </c>
      <c r="AM42" s="23">
        <f t="shared" si="24"/>
        <v>0</v>
      </c>
      <c r="AN42" s="23">
        <f t="shared" si="24"/>
        <v>0</v>
      </c>
      <c r="AO42" s="23">
        <f t="shared" si="24"/>
        <v>0</v>
      </c>
    </row>
    <row r="43" spans="1:41" s="58" customFormat="1" ht="18" thickTop="1" x14ac:dyDescent="0.3">
      <c r="A43" s="15"/>
      <c r="B43" s="16"/>
      <c r="C43" s="24"/>
      <c r="D43" s="24"/>
      <c r="E43" s="3"/>
      <c r="F43" s="65"/>
      <c r="G43" s="65"/>
      <c r="H43" s="65"/>
      <c r="I43" s="66"/>
      <c r="J43" s="66"/>
      <c r="K43" s="66"/>
      <c r="L43" s="65"/>
      <c r="M43" s="65"/>
      <c r="N43" s="65"/>
      <c r="O43" s="66"/>
      <c r="P43" s="66"/>
      <c r="Q43" s="66"/>
      <c r="R43" s="65"/>
      <c r="S43" s="65"/>
      <c r="T43" s="65"/>
      <c r="U43" s="66"/>
      <c r="V43" s="66"/>
      <c r="W43" s="66"/>
      <c r="X43" s="65"/>
      <c r="Y43" s="65"/>
      <c r="Z43" s="65"/>
      <c r="AA43" s="66"/>
      <c r="AB43" s="66"/>
      <c r="AC43" s="66"/>
      <c r="AD43" s="65"/>
      <c r="AE43" s="65"/>
      <c r="AF43" s="65"/>
      <c r="AG43" s="66"/>
      <c r="AH43" s="66"/>
      <c r="AI43" s="66"/>
      <c r="AJ43" s="65"/>
      <c r="AK43" s="65"/>
      <c r="AL43" s="65"/>
      <c r="AM43" s="66"/>
      <c r="AN43" s="66"/>
      <c r="AO43" s="66"/>
    </row>
    <row r="44" spans="1:41" s="58" customFormat="1" ht="21.95" customHeight="1" x14ac:dyDescent="0.3">
      <c r="A44" s="15"/>
      <c r="B44" s="16"/>
      <c r="C44" s="24"/>
      <c r="D44" s="24"/>
      <c r="E44" s="3"/>
      <c r="F44" s="65"/>
      <c r="G44" s="65"/>
      <c r="H44" s="65"/>
      <c r="I44" s="66"/>
      <c r="J44" s="66"/>
      <c r="K44" s="66"/>
      <c r="L44" s="65"/>
      <c r="M44" s="65"/>
      <c r="N44" s="65"/>
      <c r="O44" s="66"/>
      <c r="P44" s="66"/>
      <c r="Q44" s="66"/>
      <c r="R44" s="65"/>
      <c r="S44" s="65"/>
      <c r="T44" s="65"/>
      <c r="U44" s="66"/>
      <c r="V44" s="66"/>
      <c r="W44" s="66"/>
      <c r="X44" s="65"/>
      <c r="Y44" s="65"/>
      <c r="Z44" s="65"/>
      <c r="AA44" s="66"/>
      <c r="AB44" s="66"/>
      <c r="AC44" s="66"/>
      <c r="AD44" s="65"/>
      <c r="AE44" s="65"/>
      <c r="AF44" s="65"/>
      <c r="AG44" s="66"/>
      <c r="AH44" s="66"/>
      <c r="AI44" s="66"/>
      <c r="AJ44" s="65"/>
      <c r="AK44" s="65"/>
      <c r="AL44" s="65"/>
      <c r="AM44" s="66"/>
      <c r="AN44" s="66"/>
      <c r="AO44" s="66"/>
    </row>
    <row r="45" spans="1:41" s="58" customFormat="1" ht="17.25" x14ac:dyDescent="0.3">
      <c r="A45" s="4" t="s">
        <v>13</v>
      </c>
      <c r="B45" s="25"/>
      <c r="C45" s="26"/>
      <c r="D45" s="26"/>
      <c r="E45" s="3"/>
      <c r="F45" s="65"/>
      <c r="G45" s="65"/>
      <c r="H45" s="65"/>
      <c r="I45" s="66"/>
      <c r="J45" s="66"/>
      <c r="K45" s="66"/>
      <c r="L45" s="65"/>
      <c r="M45" s="65"/>
      <c r="N45" s="65"/>
      <c r="O45" s="66"/>
      <c r="P45" s="66"/>
      <c r="Q45" s="66"/>
      <c r="R45" s="65"/>
      <c r="S45" s="65"/>
      <c r="T45" s="65"/>
      <c r="U45" s="66"/>
      <c r="V45" s="66"/>
      <c r="W45" s="66"/>
      <c r="X45" s="65"/>
      <c r="Y45" s="65"/>
      <c r="Z45" s="65"/>
      <c r="AA45" s="66"/>
      <c r="AB45" s="66"/>
      <c r="AC45" s="66"/>
      <c r="AD45" s="65"/>
      <c r="AE45" s="65"/>
      <c r="AF45" s="65"/>
      <c r="AG45" s="66"/>
      <c r="AH45" s="66"/>
      <c r="AI45" s="66"/>
      <c r="AJ45" s="65"/>
      <c r="AK45" s="65"/>
      <c r="AL45" s="65"/>
      <c r="AM45" s="66"/>
      <c r="AN45" s="66"/>
      <c r="AO45" s="66"/>
    </row>
    <row r="46" spans="1:41" s="58" customFormat="1" ht="17.25" x14ac:dyDescent="0.3">
      <c r="A46" s="15" t="s">
        <v>14</v>
      </c>
      <c r="B46" s="16"/>
      <c r="C46" s="14">
        <f>H46+K46+N46+Q46+T46+W46+Z46+AC46+AF46+AI46+AL46+AO46</f>
        <v>451903</v>
      </c>
      <c r="D46" s="27">
        <f>D42</f>
        <v>280000</v>
      </c>
      <c r="E46" s="3"/>
      <c r="F46" s="27">
        <f>F42</f>
        <v>423739</v>
      </c>
      <c r="G46" s="27">
        <f t="shared" ref="G46:AO46" si="25">G42</f>
        <v>37862</v>
      </c>
      <c r="H46" s="27">
        <f t="shared" si="25"/>
        <v>461601</v>
      </c>
      <c r="I46" s="27">
        <f t="shared" si="25"/>
        <v>-63233</v>
      </c>
      <c r="J46" s="27">
        <f t="shared" si="25"/>
        <v>-45954</v>
      </c>
      <c r="K46" s="27">
        <f t="shared" si="25"/>
        <v>-109187</v>
      </c>
      <c r="L46" s="27">
        <f t="shared" si="25"/>
        <v>0</v>
      </c>
      <c r="M46" s="27">
        <f t="shared" si="25"/>
        <v>0</v>
      </c>
      <c r="N46" s="27">
        <f>L46+M46</f>
        <v>0</v>
      </c>
      <c r="O46" s="27">
        <f t="shared" si="25"/>
        <v>-51401</v>
      </c>
      <c r="P46" s="27">
        <f t="shared" si="25"/>
        <v>-265239</v>
      </c>
      <c r="Q46" s="27">
        <f t="shared" si="25"/>
        <v>-316640</v>
      </c>
      <c r="R46" s="27">
        <f t="shared" si="25"/>
        <v>374732</v>
      </c>
      <c r="S46" s="121">
        <f>S42</f>
        <v>0</v>
      </c>
      <c r="T46" s="27">
        <f>R46+S46</f>
        <v>374732</v>
      </c>
      <c r="U46" s="27">
        <f t="shared" si="25"/>
        <v>18264</v>
      </c>
      <c r="V46" s="27">
        <f t="shared" si="25"/>
        <v>-18981</v>
      </c>
      <c r="W46" s="27">
        <f t="shared" si="25"/>
        <v>-717</v>
      </c>
      <c r="X46" s="27">
        <f t="shared" si="25"/>
        <v>14292</v>
      </c>
      <c r="Y46" s="27">
        <f t="shared" si="25"/>
        <v>0</v>
      </c>
      <c r="Z46" s="27">
        <f t="shared" si="25"/>
        <v>14292</v>
      </c>
      <c r="AA46" s="27">
        <f t="shared" si="25"/>
        <v>4550</v>
      </c>
      <c r="AB46" s="27">
        <f t="shared" si="25"/>
        <v>0</v>
      </c>
      <c r="AC46" s="27">
        <f t="shared" si="25"/>
        <v>4550</v>
      </c>
      <c r="AD46" s="27">
        <f t="shared" si="25"/>
        <v>23272</v>
      </c>
      <c r="AE46" s="27">
        <f t="shared" si="25"/>
        <v>0</v>
      </c>
      <c r="AF46" s="27">
        <f t="shared" si="25"/>
        <v>23272</v>
      </c>
      <c r="AG46" s="27">
        <f t="shared" si="25"/>
        <v>0</v>
      </c>
      <c r="AH46" s="27">
        <f t="shared" si="25"/>
        <v>0</v>
      </c>
      <c r="AI46" s="27">
        <f t="shared" si="25"/>
        <v>0</v>
      </c>
      <c r="AJ46" s="27">
        <f t="shared" si="25"/>
        <v>0</v>
      </c>
      <c r="AK46" s="27">
        <f t="shared" si="25"/>
        <v>0</v>
      </c>
      <c r="AL46" s="27">
        <f t="shared" si="25"/>
        <v>0</v>
      </c>
      <c r="AM46" s="27">
        <f t="shared" si="25"/>
        <v>0</v>
      </c>
      <c r="AN46" s="27">
        <f t="shared" si="25"/>
        <v>0</v>
      </c>
      <c r="AO46" s="27">
        <f t="shared" si="25"/>
        <v>0</v>
      </c>
    </row>
    <row r="47" spans="1:41" s="58" customFormat="1" ht="18.95" customHeight="1" thickBot="1" x14ac:dyDescent="0.35">
      <c r="A47" s="4" t="s">
        <v>15</v>
      </c>
      <c r="B47" s="16"/>
      <c r="C47" s="23">
        <f>SUM(C46:C46)</f>
        <v>451903</v>
      </c>
      <c r="D47" s="23">
        <f>D42</f>
        <v>280000</v>
      </c>
      <c r="E47" s="3"/>
      <c r="F47" s="23">
        <f t="shared" ref="F47:AO47" si="26">SUM(F46:F46)</f>
        <v>423739</v>
      </c>
      <c r="G47" s="23">
        <f t="shared" si="26"/>
        <v>37862</v>
      </c>
      <c r="H47" s="23">
        <f t="shared" si="26"/>
        <v>461601</v>
      </c>
      <c r="I47" s="23">
        <f t="shared" si="26"/>
        <v>-63233</v>
      </c>
      <c r="J47" s="23">
        <f t="shared" si="26"/>
        <v>-45954</v>
      </c>
      <c r="K47" s="23">
        <f t="shared" si="26"/>
        <v>-109187</v>
      </c>
      <c r="L47" s="23">
        <f t="shared" si="26"/>
        <v>0</v>
      </c>
      <c r="M47" s="23">
        <f t="shared" si="26"/>
        <v>0</v>
      </c>
      <c r="N47" s="23">
        <f t="shared" si="26"/>
        <v>0</v>
      </c>
      <c r="O47" s="23">
        <f t="shared" si="26"/>
        <v>-51401</v>
      </c>
      <c r="P47" s="23">
        <f t="shared" si="26"/>
        <v>-265239</v>
      </c>
      <c r="Q47" s="23">
        <f t="shared" si="26"/>
        <v>-316640</v>
      </c>
      <c r="R47" s="23">
        <f t="shared" si="26"/>
        <v>374732</v>
      </c>
      <c r="S47" s="23">
        <f t="shared" si="26"/>
        <v>0</v>
      </c>
      <c r="T47" s="23">
        <f t="shared" si="26"/>
        <v>374732</v>
      </c>
      <c r="U47" s="23">
        <f t="shared" si="26"/>
        <v>18264</v>
      </c>
      <c r="V47" s="23">
        <f t="shared" si="26"/>
        <v>-18981</v>
      </c>
      <c r="W47" s="23">
        <f t="shared" si="26"/>
        <v>-717</v>
      </c>
      <c r="X47" s="23">
        <f t="shared" si="26"/>
        <v>14292</v>
      </c>
      <c r="Y47" s="23">
        <f t="shared" si="26"/>
        <v>0</v>
      </c>
      <c r="Z47" s="23">
        <f t="shared" si="26"/>
        <v>14292</v>
      </c>
      <c r="AA47" s="23">
        <f t="shared" si="26"/>
        <v>4550</v>
      </c>
      <c r="AB47" s="23">
        <f t="shared" si="26"/>
        <v>0</v>
      </c>
      <c r="AC47" s="23">
        <f t="shared" si="26"/>
        <v>4550</v>
      </c>
      <c r="AD47" s="23">
        <f t="shared" si="26"/>
        <v>23272</v>
      </c>
      <c r="AE47" s="23">
        <f t="shared" si="26"/>
        <v>0</v>
      </c>
      <c r="AF47" s="23">
        <f t="shared" si="26"/>
        <v>23272</v>
      </c>
      <c r="AG47" s="23">
        <f t="shared" si="26"/>
        <v>0</v>
      </c>
      <c r="AH47" s="23">
        <f t="shared" si="26"/>
        <v>0</v>
      </c>
      <c r="AI47" s="23">
        <f t="shared" si="26"/>
        <v>0</v>
      </c>
      <c r="AJ47" s="23">
        <f t="shared" si="26"/>
        <v>0</v>
      </c>
      <c r="AK47" s="23">
        <f t="shared" si="26"/>
        <v>0</v>
      </c>
      <c r="AL47" s="23">
        <f t="shared" si="26"/>
        <v>0</v>
      </c>
      <c r="AM47" s="23">
        <f t="shared" si="26"/>
        <v>0</v>
      </c>
      <c r="AN47" s="23">
        <f t="shared" si="26"/>
        <v>0</v>
      </c>
      <c r="AO47" s="23">
        <f t="shared" si="26"/>
        <v>0</v>
      </c>
    </row>
    <row r="48" spans="1:41" s="58" customFormat="1" ht="18.95" customHeight="1" thickTop="1" x14ac:dyDescent="0.3">
      <c r="A48" s="4"/>
      <c r="B48" s="16"/>
      <c r="C48" s="28"/>
      <c r="D48" s="29"/>
      <c r="E48" s="3"/>
      <c r="F48" s="65"/>
      <c r="G48" s="65"/>
      <c r="H48" s="65"/>
      <c r="I48" s="66"/>
      <c r="J48" s="66"/>
      <c r="K48" s="66"/>
      <c r="L48" s="65"/>
      <c r="M48" s="65"/>
      <c r="N48" s="65"/>
      <c r="O48" s="66"/>
      <c r="P48" s="66"/>
      <c r="Q48" s="66"/>
      <c r="R48" s="65"/>
      <c r="S48" s="65"/>
      <c r="T48" s="65"/>
      <c r="U48" s="66"/>
      <c r="V48" s="66"/>
      <c r="W48" s="66"/>
      <c r="X48" s="65"/>
      <c r="Y48" s="65"/>
      <c r="Z48" s="65"/>
      <c r="AA48" s="66"/>
      <c r="AB48" s="66"/>
      <c r="AC48" s="66"/>
      <c r="AD48" s="65"/>
      <c r="AE48" s="65"/>
      <c r="AF48" s="65"/>
      <c r="AG48" s="66"/>
      <c r="AH48" s="66"/>
      <c r="AI48" s="66"/>
      <c r="AJ48" s="65"/>
      <c r="AK48" s="65"/>
      <c r="AL48" s="65"/>
      <c r="AM48" s="66"/>
      <c r="AN48" s="66"/>
      <c r="AO48" s="66"/>
    </row>
    <row r="49" spans="1:41" s="58" customFormat="1" ht="18.95" customHeight="1" x14ac:dyDescent="0.3">
      <c r="A49" s="4"/>
      <c r="B49" s="16"/>
      <c r="C49" s="28"/>
      <c r="D49" s="29"/>
      <c r="E49" s="3"/>
      <c r="F49" s="65"/>
      <c r="G49" s="65"/>
      <c r="H49" s="65"/>
      <c r="I49" s="66"/>
      <c r="J49" s="66"/>
      <c r="K49" s="66"/>
      <c r="L49" s="65"/>
      <c r="M49" s="65"/>
      <c r="N49" s="65"/>
      <c r="O49" s="66"/>
      <c r="P49" s="66"/>
      <c r="Q49" s="66"/>
      <c r="R49" s="65"/>
      <c r="S49" s="65"/>
      <c r="T49" s="65"/>
      <c r="U49" s="66"/>
      <c r="V49" s="66"/>
      <c r="W49" s="66"/>
      <c r="X49" s="65"/>
      <c r="Y49" s="65"/>
      <c r="Z49" s="65"/>
      <c r="AA49" s="66"/>
      <c r="AB49" s="66"/>
      <c r="AC49" s="66"/>
      <c r="AD49" s="65"/>
      <c r="AE49" s="65"/>
      <c r="AF49" s="65"/>
      <c r="AG49" s="66"/>
      <c r="AH49" s="66"/>
      <c r="AI49" s="66"/>
      <c r="AJ49" s="65"/>
      <c r="AK49" s="65"/>
      <c r="AL49" s="65"/>
      <c r="AM49" s="66"/>
      <c r="AN49" s="66"/>
      <c r="AO49" s="66"/>
    </row>
    <row r="50" spans="1:41" s="58" customFormat="1" ht="30" customHeight="1" x14ac:dyDescent="0.4">
      <c r="A50" s="1" t="str">
        <f>A1</f>
        <v>Otta Idrettslag - med undergrupper</v>
      </c>
      <c r="B50" s="16"/>
      <c r="C50" s="28"/>
      <c r="D50" s="29"/>
      <c r="E50" s="3"/>
      <c r="F50" s="65"/>
      <c r="G50" s="65"/>
      <c r="H50" s="65"/>
      <c r="I50" s="66"/>
      <c r="J50" s="66"/>
      <c r="K50" s="66"/>
      <c r="L50" s="65"/>
      <c r="M50" s="65"/>
      <c r="N50" s="65"/>
      <c r="O50" s="66"/>
      <c r="P50" s="66"/>
      <c r="Q50" s="66"/>
      <c r="R50" s="65"/>
      <c r="S50" s="65"/>
      <c r="T50" s="65"/>
      <c r="U50" s="66"/>
      <c r="V50" s="66"/>
      <c r="W50" s="66"/>
      <c r="X50" s="65"/>
      <c r="Y50" s="65"/>
      <c r="Z50" s="65"/>
      <c r="AA50" s="66"/>
      <c r="AB50" s="66"/>
      <c r="AC50" s="66"/>
      <c r="AD50" s="65"/>
      <c r="AE50" s="65"/>
      <c r="AF50" s="65"/>
      <c r="AG50" s="66"/>
      <c r="AH50" s="66"/>
      <c r="AI50" s="66"/>
      <c r="AJ50" s="65"/>
      <c r="AK50" s="65"/>
      <c r="AL50" s="65"/>
      <c r="AM50" s="66"/>
      <c r="AN50" s="66"/>
      <c r="AO50" s="66"/>
    </row>
    <row r="51" spans="1:41" s="58" customFormat="1" x14ac:dyDescent="0.2">
      <c r="A51" s="15"/>
      <c r="B51" s="156"/>
      <c r="C51" s="14"/>
      <c r="D51" s="14"/>
      <c r="E51" s="3"/>
      <c r="F51" s="65"/>
      <c r="G51" s="65"/>
      <c r="H51" s="65"/>
      <c r="I51" s="66"/>
      <c r="J51" s="66"/>
      <c r="K51" s="66"/>
      <c r="L51" s="65"/>
      <c r="M51" s="65"/>
      <c r="N51" s="65"/>
      <c r="O51" s="66"/>
      <c r="P51" s="66"/>
      <c r="Q51" s="66"/>
      <c r="R51" s="65"/>
      <c r="S51" s="65"/>
      <c r="T51" s="65"/>
      <c r="U51" s="66"/>
      <c r="V51" s="66"/>
      <c r="W51" s="66"/>
      <c r="X51" s="65"/>
      <c r="Y51" s="65"/>
      <c r="Z51" s="65"/>
      <c r="AA51" s="66"/>
      <c r="AB51" s="66"/>
      <c r="AC51" s="66"/>
      <c r="AD51" s="65"/>
      <c r="AE51" s="65"/>
      <c r="AF51" s="65"/>
      <c r="AG51" s="66"/>
      <c r="AH51" s="66"/>
      <c r="AI51" s="66"/>
      <c r="AJ51" s="65"/>
      <c r="AK51" s="65"/>
      <c r="AL51" s="65"/>
      <c r="AM51" s="66"/>
      <c r="AN51" s="66"/>
      <c r="AO51" s="66"/>
    </row>
    <row r="52" spans="1:41" s="58" customFormat="1" x14ac:dyDescent="0.2">
      <c r="A52" s="4" t="s">
        <v>16</v>
      </c>
      <c r="B52" s="156"/>
      <c r="C52" s="30"/>
      <c r="D52" s="30"/>
      <c r="E52" s="3"/>
      <c r="F52" s="65"/>
      <c r="G52" s="65"/>
      <c r="H52" s="65"/>
      <c r="I52" s="66"/>
      <c r="J52" s="66"/>
      <c r="K52" s="66"/>
      <c r="L52" s="65"/>
      <c r="M52" s="65"/>
      <c r="N52" s="65"/>
      <c r="O52" s="66"/>
      <c r="P52" s="66"/>
      <c r="Q52" s="66"/>
      <c r="R52" s="65"/>
      <c r="S52" s="65"/>
      <c r="T52" s="65"/>
      <c r="U52" s="66"/>
      <c r="V52" s="66"/>
      <c r="W52" s="66"/>
      <c r="X52" s="65"/>
      <c r="Y52" s="65"/>
      <c r="Z52" s="65"/>
      <c r="AA52" s="66"/>
      <c r="AB52" s="66"/>
      <c r="AC52" s="66"/>
      <c r="AD52" s="65"/>
      <c r="AE52" s="65"/>
      <c r="AF52" s="65"/>
      <c r="AG52" s="66"/>
      <c r="AH52" s="66"/>
      <c r="AI52" s="66"/>
      <c r="AJ52" s="65"/>
      <c r="AK52" s="65"/>
      <c r="AL52" s="65"/>
      <c r="AM52" s="66"/>
      <c r="AN52" s="66"/>
      <c r="AO52" s="66"/>
    </row>
    <row r="53" spans="1:41" s="58" customFormat="1" x14ac:dyDescent="0.2">
      <c r="A53" s="31"/>
      <c r="B53" s="32"/>
      <c r="C53" s="33">
        <f>C4</f>
        <v>2022</v>
      </c>
      <c r="D53" s="34"/>
      <c r="E53" s="3"/>
      <c r="F53" s="65"/>
      <c r="G53" s="65"/>
      <c r="H53" s="65"/>
      <c r="I53" s="66"/>
      <c r="J53" s="66"/>
      <c r="K53" s="66"/>
      <c r="L53" s="65"/>
      <c r="M53" s="65"/>
      <c r="N53" s="65"/>
      <c r="O53" s="66"/>
      <c r="P53" s="66"/>
      <c r="Q53" s="66"/>
      <c r="R53" s="65"/>
      <c r="S53" s="65"/>
      <c r="T53" s="65"/>
      <c r="U53" s="66"/>
      <c r="V53" s="66"/>
      <c r="W53" s="66"/>
      <c r="X53" s="65"/>
      <c r="Y53" s="65"/>
      <c r="Z53" s="65"/>
      <c r="AA53" s="66"/>
      <c r="AB53" s="66"/>
      <c r="AC53" s="66"/>
      <c r="AD53" s="65"/>
      <c r="AE53" s="65"/>
      <c r="AF53" s="65"/>
      <c r="AG53" s="66"/>
      <c r="AH53" s="66"/>
      <c r="AI53" s="66"/>
      <c r="AJ53" s="65"/>
      <c r="AK53" s="65"/>
      <c r="AL53" s="65"/>
      <c r="AM53" s="66"/>
      <c r="AN53" s="66"/>
      <c r="AO53" s="66"/>
    </row>
    <row r="54" spans="1:41" s="58" customFormat="1" ht="15.75" x14ac:dyDescent="0.25">
      <c r="A54" s="35" t="s">
        <v>17</v>
      </c>
      <c r="B54" s="36" t="s">
        <v>4</v>
      </c>
      <c r="C54" s="37"/>
      <c r="D54" s="38"/>
      <c r="E54" s="3"/>
      <c r="F54" s="65"/>
      <c r="G54" s="65"/>
      <c r="H54" s="65"/>
      <c r="I54" s="66"/>
      <c r="J54" s="66"/>
      <c r="K54" s="66"/>
      <c r="L54" s="65"/>
      <c r="M54" s="65"/>
      <c r="N54" s="65"/>
      <c r="O54" s="66"/>
      <c r="P54" s="66"/>
      <c r="Q54" s="66"/>
      <c r="R54" s="65"/>
      <c r="S54" s="65"/>
      <c r="T54" s="65"/>
      <c r="U54" s="66"/>
      <c r="V54" s="66"/>
      <c r="W54" s="66"/>
      <c r="X54" s="65"/>
      <c r="Y54" s="65"/>
      <c r="Z54" s="65"/>
      <c r="AA54" s="66"/>
      <c r="AB54" s="66"/>
      <c r="AC54" s="66"/>
      <c r="AD54" s="65"/>
      <c r="AE54" s="65"/>
      <c r="AF54" s="65"/>
      <c r="AG54" s="66"/>
      <c r="AH54" s="66"/>
      <c r="AI54" s="66"/>
      <c r="AJ54" s="65"/>
      <c r="AK54" s="65"/>
      <c r="AL54" s="65"/>
      <c r="AM54" s="66"/>
      <c r="AN54" s="66"/>
      <c r="AO54" s="66"/>
    </row>
    <row r="55" spans="1:41" s="58" customFormat="1" ht="19.5" customHeight="1" x14ac:dyDescent="0.25">
      <c r="A55" s="39"/>
      <c r="B55" s="40"/>
      <c r="C55" s="41"/>
      <c r="D55" s="38"/>
      <c r="E55" s="3"/>
      <c r="F55" s="65"/>
      <c r="G55" s="65"/>
      <c r="H55" s="65"/>
      <c r="I55" s="66"/>
      <c r="J55" s="66"/>
      <c r="K55" s="66"/>
      <c r="L55" s="65"/>
      <c r="M55" s="65"/>
      <c r="N55" s="65"/>
      <c r="O55" s="66"/>
      <c r="P55" s="66"/>
      <c r="Q55" s="66"/>
      <c r="R55" s="65"/>
      <c r="S55" s="65"/>
      <c r="T55" s="65"/>
      <c r="U55" s="66"/>
      <c r="V55" s="66"/>
      <c r="W55" s="66"/>
      <c r="X55" s="65"/>
      <c r="Y55" s="65"/>
      <c r="Z55" s="65"/>
      <c r="AA55" s="66"/>
      <c r="AB55" s="66"/>
      <c r="AC55" s="66"/>
      <c r="AD55" s="65"/>
      <c r="AE55" s="65"/>
      <c r="AF55" s="65"/>
      <c r="AG55" s="66"/>
      <c r="AH55" s="66"/>
      <c r="AI55" s="66"/>
      <c r="AJ55" s="65"/>
      <c r="AK55" s="65"/>
      <c r="AL55" s="65"/>
      <c r="AM55" s="66"/>
      <c r="AN55" s="66"/>
      <c r="AO55" s="66"/>
    </row>
    <row r="56" spans="1:41" s="58" customFormat="1" ht="15.75" x14ac:dyDescent="0.25">
      <c r="A56" s="4" t="s">
        <v>18</v>
      </c>
      <c r="B56" s="16"/>
      <c r="C56" s="41"/>
      <c r="D56" s="42"/>
      <c r="E56" s="3"/>
      <c r="F56" s="65"/>
      <c r="G56" s="65"/>
      <c r="H56" s="65"/>
      <c r="I56" s="66"/>
      <c r="J56" s="66"/>
      <c r="K56" s="66"/>
      <c r="L56" s="65"/>
      <c r="M56" s="65"/>
      <c r="N56" s="65"/>
      <c r="O56" s="66"/>
      <c r="P56" s="66"/>
      <c r="Q56" s="66"/>
      <c r="R56" s="65"/>
      <c r="S56" s="65"/>
      <c r="T56" s="65"/>
      <c r="U56" s="66"/>
      <c r="V56" s="66"/>
      <c r="W56" s="66"/>
      <c r="X56" s="65"/>
      <c r="Y56" s="65"/>
      <c r="Z56" s="65"/>
      <c r="AA56" s="66"/>
      <c r="AB56" s="66"/>
      <c r="AC56" s="66"/>
      <c r="AD56" s="65"/>
      <c r="AE56" s="65"/>
      <c r="AF56" s="65"/>
      <c r="AG56" s="66"/>
      <c r="AH56" s="66"/>
      <c r="AI56" s="66"/>
      <c r="AJ56" s="65"/>
      <c r="AK56" s="65"/>
      <c r="AL56" s="65"/>
      <c r="AM56" s="66"/>
      <c r="AN56" s="66"/>
      <c r="AO56" s="66"/>
    </row>
    <row r="57" spans="1:41" s="58" customFormat="1" ht="14.1" customHeight="1" x14ac:dyDescent="0.3">
      <c r="A57" s="15"/>
      <c r="B57" s="16"/>
      <c r="C57" s="41"/>
      <c r="D57" s="28"/>
      <c r="E57" s="3"/>
      <c r="F57" s="65"/>
      <c r="G57" s="65"/>
      <c r="H57" s="65"/>
      <c r="I57" s="66"/>
      <c r="J57" s="66"/>
      <c r="K57" s="66"/>
      <c r="L57" s="65"/>
      <c r="M57" s="65"/>
      <c r="N57" s="65"/>
      <c r="O57" s="66"/>
      <c r="P57" s="66"/>
      <c r="Q57" s="66"/>
      <c r="R57" s="65"/>
      <c r="S57" s="65"/>
      <c r="T57" s="65"/>
      <c r="U57" s="66"/>
      <c r="V57" s="66"/>
      <c r="W57" s="66"/>
      <c r="X57" s="65"/>
      <c r="Y57" s="65"/>
      <c r="Z57" s="65"/>
      <c r="AA57" s="66"/>
      <c r="AB57" s="66"/>
      <c r="AC57" s="66"/>
      <c r="AD57" s="65"/>
      <c r="AE57" s="65"/>
      <c r="AF57" s="65"/>
      <c r="AG57" s="66"/>
      <c r="AH57" s="66"/>
      <c r="AI57" s="66"/>
      <c r="AJ57" s="65"/>
      <c r="AK57" s="65"/>
      <c r="AL57" s="65"/>
      <c r="AM57" s="66"/>
      <c r="AN57" s="66"/>
      <c r="AO57" s="66"/>
    </row>
    <row r="58" spans="1:41" s="58" customFormat="1" ht="15.75" x14ac:dyDescent="0.25">
      <c r="A58" s="70" t="s">
        <v>70</v>
      </c>
      <c r="B58" s="16"/>
      <c r="C58" s="41"/>
      <c r="D58" s="42"/>
      <c r="E58" s="3"/>
      <c r="F58" s="65"/>
      <c r="G58" s="65"/>
      <c r="H58" s="65"/>
      <c r="I58" s="66"/>
      <c r="J58" s="66"/>
      <c r="K58" s="66"/>
      <c r="L58" s="65"/>
      <c r="M58" s="65"/>
      <c r="N58" s="65"/>
      <c r="O58" s="66"/>
      <c r="P58" s="66"/>
      <c r="Q58" s="66"/>
      <c r="R58" s="65"/>
      <c r="S58" s="65"/>
      <c r="T58" s="65"/>
      <c r="U58" s="66"/>
      <c r="V58" s="66"/>
      <c r="W58" s="66"/>
      <c r="X58" s="65"/>
      <c r="Y58" s="65"/>
      <c r="Z58" s="65"/>
      <c r="AA58" s="66"/>
      <c r="AB58" s="66"/>
      <c r="AC58" s="66"/>
      <c r="AD58" s="65"/>
      <c r="AE58" s="65"/>
      <c r="AF58" s="65"/>
      <c r="AG58" s="66"/>
      <c r="AH58" s="66"/>
      <c r="AI58" s="66"/>
      <c r="AJ58" s="65"/>
      <c r="AK58" s="65"/>
      <c r="AL58" s="65"/>
      <c r="AM58" s="66"/>
      <c r="AN58" s="66"/>
      <c r="AO58" s="66"/>
    </row>
    <row r="59" spans="1:41" s="58" customFormat="1" ht="15.75" x14ac:dyDescent="0.25">
      <c r="A59" s="68" t="s">
        <v>66</v>
      </c>
      <c r="B59" s="16"/>
      <c r="C59" s="14">
        <f>H59+K59+N59+Q59+T59+W59+Z59+AC59+AF59+AI59+AL59+AO59</f>
        <v>1583800</v>
      </c>
      <c r="D59" s="42"/>
      <c r="E59" s="3"/>
      <c r="F59" s="134">
        <v>1500800</v>
      </c>
      <c r="G59" s="65"/>
      <c r="H59" s="65">
        <f t="shared" ref="H59:H95" si="27">F59+G59</f>
        <v>1500800</v>
      </c>
      <c r="I59" s="132">
        <v>0</v>
      </c>
      <c r="J59" s="66"/>
      <c r="K59" s="66">
        <f t="shared" ref="K59:K95" si="28">I59+J59</f>
        <v>0</v>
      </c>
      <c r="L59" s="132">
        <v>0</v>
      </c>
      <c r="M59" s="65"/>
      <c r="N59" s="65">
        <f t="shared" ref="N59:N95" si="29">L59+M59</f>
        <v>0</v>
      </c>
      <c r="O59" s="132">
        <v>0</v>
      </c>
      <c r="P59" s="66"/>
      <c r="Q59" s="66">
        <f t="shared" ref="Q59:Q95" si="30">O59+P59</f>
        <v>0</v>
      </c>
      <c r="R59" s="132">
        <v>83000</v>
      </c>
      <c r="S59" s="65"/>
      <c r="T59" s="65">
        <f t="shared" ref="T59:T95" si="31">R59+S59</f>
        <v>83000</v>
      </c>
      <c r="U59" s="66"/>
      <c r="V59" s="66"/>
      <c r="W59" s="66">
        <f t="shared" ref="W59:W95" si="32">U59+V59</f>
        <v>0</v>
      </c>
      <c r="X59" s="65"/>
      <c r="Y59" s="65"/>
      <c r="Z59" s="65">
        <f t="shared" ref="Z59:Z95" si="33">X59+Y59</f>
        <v>0</v>
      </c>
      <c r="AA59" s="66"/>
      <c r="AB59" s="66"/>
      <c r="AC59" s="66">
        <f t="shared" ref="AC59:AC95" si="34">AA59+AB59</f>
        <v>0</v>
      </c>
      <c r="AD59" s="65"/>
      <c r="AE59" s="65"/>
      <c r="AF59" s="65">
        <f t="shared" ref="AF59:AF95" si="35">AD59+AE59</f>
        <v>0</v>
      </c>
      <c r="AG59" s="66"/>
      <c r="AH59" s="66"/>
      <c r="AI59" s="66">
        <f t="shared" ref="AI59:AI95" si="36">AG59+AH59</f>
        <v>0</v>
      </c>
      <c r="AJ59" s="65"/>
      <c r="AK59" s="65"/>
      <c r="AL59" s="65">
        <f t="shared" ref="AL59:AL95" si="37">AJ59+AK59</f>
        <v>0</v>
      </c>
      <c r="AM59" s="66"/>
      <c r="AN59" s="66"/>
      <c r="AO59" s="66">
        <f t="shared" ref="AO59:AO60" si="38">AM59+AN59</f>
        <v>0</v>
      </c>
    </row>
    <row r="60" spans="1:41" s="58" customFormat="1" ht="17.25" x14ac:dyDescent="0.3">
      <c r="A60" s="68" t="s">
        <v>67</v>
      </c>
      <c r="B60" s="16"/>
      <c r="C60" s="14">
        <f>H60+K60+N60+Q60+T60+W60+Z60+AC60+AF60+AI60+AL60+AO60</f>
        <v>139700</v>
      </c>
      <c r="D60" s="24"/>
      <c r="E60" s="3"/>
      <c r="F60" s="134">
        <v>53000</v>
      </c>
      <c r="G60" s="65"/>
      <c r="H60" s="65">
        <f t="shared" si="27"/>
        <v>53000</v>
      </c>
      <c r="I60" s="132">
        <v>39000</v>
      </c>
      <c r="J60" s="66"/>
      <c r="K60" s="66">
        <f t="shared" si="28"/>
        <v>39000</v>
      </c>
      <c r="L60" s="132">
        <v>0</v>
      </c>
      <c r="M60" s="65"/>
      <c r="N60" s="65">
        <f t="shared" si="29"/>
        <v>0</v>
      </c>
      <c r="O60" s="132">
        <v>44000</v>
      </c>
      <c r="P60" s="66"/>
      <c r="Q60" s="66">
        <f t="shared" si="30"/>
        <v>44000</v>
      </c>
      <c r="R60" s="132">
        <v>3700</v>
      </c>
      <c r="S60" s="65"/>
      <c r="T60" s="65">
        <f t="shared" si="31"/>
        <v>3700</v>
      </c>
      <c r="U60" s="66"/>
      <c r="V60" s="66"/>
      <c r="W60" s="66">
        <f t="shared" si="32"/>
        <v>0</v>
      </c>
      <c r="X60" s="65"/>
      <c r="Y60" s="65"/>
      <c r="Z60" s="65">
        <f t="shared" si="33"/>
        <v>0</v>
      </c>
      <c r="AA60" s="66"/>
      <c r="AB60" s="66"/>
      <c r="AC60" s="66">
        <f t="shared" si="34"/>
        <v>0</v>
      </c>
      <c r="AD60" s="65"/>
      <c r="AE60" s="65"/>
      <c r="AF60" s="65">
        <f t="shared" si="35"/>
        <v>0</v>
      </c>
      <c r="AG60" s="66"/>
      <c r="AH60" s="66"/>
      <c r="AI60" s="66">
        <f t="shared" si="36"/>
        <v>0</v>
      </c>
      <c r="AJ60" s="65"/>
      <c r="AK60" s="65"/>
      <c r="AL60" s="65">
        <f t="shared" si="37"/>
        <v>0</v>
      </c>
      <c r="AM60" s="66"/>
      <c r="AN60" s="66"/>
      <c r="AO60" s="66">
        <f t="shared" si="38"/>
        <v>0</v>
      </c>
    </row>
    <row r="61" spans="1:41" s="58" customFormat="1" ht="17.25" x14ac:dyDescent="0.3">
      <c r="A61" s="4" t="s">
        <v>19</v>
      </c>
      <c r="B61" s="16"/>
      <c r="C61" s="17">
        <f>SUM(C59:C60)</f>
        <v>1723500</v>
      </c>
      <c r="D61" s="28"/>
      <c r="E61" s="3"/>
      <c r="F61" s="17">
        <f>SUM(F59:F60)</f>
        <v>1553800</v>
      </c>
      <c r="G61" s="17">
        <f t="shared" ref="G61:AO61" si="39">SUM(G59:G60)</f>
        <v>0</v>
      </c>
      <c r="H61" s="17">
        <f t="shared" si="39"/>
        <v>1553800</v>
      </c>
      <c r="I61" s="17">
        <f t="shared" si="39"/>
        <v>39000</v>
      </c>
      <c r="J61" s="17">
        <f t="shared" si="39"/>
        <v>0</v>
      </c>
      <c r="K61" s="17">
        <f t="shared" si="39"/>
        <v>39000</v>
      </c>
      <c r="L61" s="17">
        <f t="shared" si="39"/>
        <v>0</v>
      </c>
      <c r="M61" s="17">
        <f t="shared" si="39"/>
        <v>0</v>
      </c>
      <c r="N61" s="17">
        <f t="shared" si="39"/>
        <v>0</v>
      </c>
      <c r="O61" s="17">
        <f t="shared" si="39"/>
        <v>44000</v>
      </c>
      <c r="P61" s="17">
        <f t="shared" si="39"/>
        <v>0</v>
      </c>
      <c r="Q61" s="17">
        <f t="shared" si="39"/>
        <v>44000</v>
      </c>
      <c r="R61" s="17">
        <f t="shared" si="39"/>
        <v>86700</v>
      </c>
      <c r="S61" s="17">
        <f t="shared" si="39"/>
        <v>0</v>
      </c>
      <c r="T61" s="17">
        <f t="shared" si="39"/>
        <v>86700</v>
      </c>
      <c r="U61" s="17">
        <f t="shared" si="39"/>
        <v>0</v>
      </c>
      <c r="V61" s="17">
        <f t="shared" si="39"/>
        <v>0</v>
      </c>
      <c r="W61" s="17">
        <f t="shared" si="39"/>
        <v>0</v>
      </c>
      <c r="X61" s="17">
        <f t="shared" si="39"/>
        <v>0</v>
      </c>
      <c r="Y61" s="17">
        <f t="shared" si="39"/>
        <v>0</v>
      </c>
      <c r="Z61" s="17">
        <f t="shared" si="39"/>
        <v>0</v>
      </c>
      <c r="AA61" s="17">
        <f t="shared" si="39"/>
        <v>0</v>
      </c>
      <c r="AB61" s="17">
        <f t="shared" si="39"/>
        <v>0</v>
      </c>
      <c r="AC61" s="17">
        <f t="shared" si="39"/>
        <v>0</v>
      </c>
      <c r="AD61" s="17">
        <f t="shared" si="39"/>
        <v>0</v>
      </c>
      <c r="AE61" s="17">
        <f t="shared" si="39"/>
        <v>0</v>
      </c>
      <c r="AF61" s="17">
        <f t="shared" si="39"/>
        <v>0</v>
      </c>
      <c r="AG61" s="17">
        <f t="shared" si="39"/>
        <v>0</v>
      </c>
      <c r="AH61" s="17">
        <f t="shared" si="39"/>
        <v>0</v>
      </c>
      <c r="AI61" s="17">
        <f t="shared" si="39"/>
        <v>0</v>
      </c>
      <c r="AJ61" s="17">
        <f t="shared" si="39"/>
        <v>0</v>
      </c>
      <c r="AK61" s="17">
        <f t="shared" si="39"/>
        <v>0</v>
      </c>
      <c r="AL61" s="17">
        <f t="shared" si="39"/>
        <v>0</v>
      </c>
      <c r="AM61" s="17">
        <f t="shared" si="39"/>
        <v>0</v>
      </c>
      <c r="AN61" s="17">
        <f t="shared" si="39"/>
        <v>0</v>
      </c>
      <c r="AO61" s="17">
        <f t="shared" si="39"/>
        <v>0</v>
      </c>
    </row>
    <row r="62" spans="1:41" s="58" customFormat="1" ht="17.25" x14ac:dyDescent="0.3">
      <c r="A62" s="4"/>
      <c r="B62" s="16"/>
      <c r="C62" s="19"/>
      <c r="D62" s="28"/>
      <c r="E62" s="3"/>
      <c r="F62" s="65"/>
      <c r="G62" s="65"/>
      <c r="H62" s="65"/>
      <c r="I62" s="66"/>
      <c r="J62" s="66"/>
      <c r="K62" s="66"/>
      <c r="L62" s="65"/>
      <c r="M62" s="65"/>
      <c r="N62" s="65"/>
      <c r="O62" s="66"/>
      <c r="P62" s="66"/>
      <c r="Q62" s="66"/>
      <c r="R62" s="65"/>
      <c r="S62" s="65"/>
      <c r="T62" s="65"/>
      <c r="U62" s="66"/>
      <c r="V62" s="66"/>
      <c r="W62" s="66"/>
      <c r="X62" s="65"/>
      <c r="Y62" s="65"/>
      <c r="Z62" s="65"/>
      <c r="AA62" s="66"/>
      <c r="AB62" s="66"/>
      <c r="AC62" s="66"/>
      <c r="AD62" s="65"/>
      <c r="AE62" s="65"/>
      <c r="AF62" s="65"/>
      <c r="AG62" s="66"/>
      <c r="AH62" s="66"/>
      <c r="AI62" s="66"/>
      <c r="AJ62" s="65"/>
      <c r="AK62" s="65"/>
      <c r="AL62" s="65"/>
      <c r="AM62" s="66"/>
      <c r="AN62" s="66"/>
      <c r="AO62" s="66"/>
    </row>
    <row r="63" spans="1:41" s="58" customFormat="1" ht="17.25" x14ac:dyDescent="0.3">
      <c r="A63" s="70" t="s">
        <v>71</v>
      </c>
      <c r="B63" s="16"/>
      <c r="C63" s="19"/>
      <c r="D63" s="28"/>
      <c r="E63" s="3"/>
      <c r="F63" s="65"/>
      <c r="G63" s="65"/>
      <c r="H63" s="65"/>
      <c r="I63" s="66"/>
      <c r="J63" s="66"/>
      <c r="K63" s="66"/>
      <c r="L63" s="65"/>
      <c r="M63" s="65"/>
      <c r="N63" s="65"/>
      <c r="O63" s="66"/>
      <c r="P63" s="66"/>
      <c r="Q63" s="66"/>
      <c r="R63" s="65"/>
      <c r="S63" s="65"/>
      <c r="T63" s="65"/>
      <c r="U63" s="66"/>
      <c r="V63" s="66"/>
      <c r="W63" s="66"/>
      <c r="X63" s="65"/>
      <c r="Y63" s="65"/>
      <c r="Z63" s="65"/>
      <c r="AA63" s="66"/>
      <c r="AB63" s="66"/>
      <c r="AC63" s="66"/>
      <c r="AD63" s="65"/>
      <c r="AE63" s="65"/>
      <c r="AF63" s="65"/>
      <c r="AG63" s="66"/>
      <c r="AH63" s="66"/>
      <c r="AI63" s="66"/>
      <c r="AJ63" s="65"/>
      <c r="AK63" s="65"/>
      <c r="AL63" s="65"/>
      <c r="AM63" s="66"/>
      <c r="AN63" s="66"/>
      <c r="AO63" s="66"/>
    </row>
    <row r="64" spans="1:41" s="58" customFormat="1" ht="17.25" x14ac:dyDescent="0.3">
      <c r="A64" s="68" t="s">
        <v>72</v>
      </c>
      <c r="B64" s="16"/>
      <c r="C64" s="14">
        <f>H64+K64+N64+Q64+T64+W64+Z64+AC64+AF64+AI64+AL64+AO64</f>
        <v>0</v>
      </c>
      <c r="D64" s="28"/>
      <c r="E64" s="3"/>
      <c r="F64" s="65">
        <v>0</v>
      </c>
      <c r="G64" s="65"/>
      <c r="H64" s="65">
        <f t="shared" si="27"/>
        <v>0</v>
      </c>
      <c r="I64" s="66">
        <v>0</v>
      </c>
      <c r="J64" s="66"/>
      <c r="K64" s="66"/>
      <c r="L64" s="65">
        <v>0</v>
      </c>
      <c r="M64" s="65"/>
      <c r="N64" s="65"/>
      <c r="O64" s="66">
        <v>0</v>
      </c>
      <c r="P64" s="66"/>
      <c r="Q64" s="66"/>
      <c r="R64" s="65">
        <v>0</v>
      </c>
      <c r="S64" s="65"/>
      <c r="T64" s="65"/>
      <c r="U64" s="66"/>
      <c r="V64" s="66"/>
      <c r="W64" s="66"/>
      <c r="X64" s="65"/>
      <c r="Y64" s="65"/>
      <c r="Z64" s="65"/>
      <c r="AA64" s="66"/>
      <c r="AB64" s="66"/>
      <c r="AC64" s="66"/>
      <c r="AD64" s="65"/>
      <c r="AE64" s="65"/>
      <c r="AF64" s="65"/>
      <c r="AG64" s="66"/>
      <c r="AH64" s="66"/>
      <c r="AI64" s="66"/>
      <c r="AJ64" s="65"/>
      <c r="AK64" s="65"/>
      <c r="AL64" s="65"/>
      <c r="AM64" s="66"/>
      <c r="AN64" s="66"/>
      <c r="AO64" s="66"/>
    </row>
    <row r="65" spans="1:41" s="58" customFormat="1" ht="17.25" x14ac:dyDescent="0.3">
      <c r="A65" s="71" t="s">
        <v>73</v>
      </c>
      <c r="B65" s="16"/>
      <c r="C65" s="17">
        <f>SUM(C63:C64)</f>
        <v>0</v>
      </c>
      <c r="D65" s="28"/>
      <c r="E65" s="3"/>
      <c r="F65" s="17">
        <f>SUM(F63:F64)</f>
        <v>0</v>
      </c>
      <c r="G65" s="17">
        <f t="shared" ref="G65:AO65" si="40">SUM(G63:G64)</f>
        <v>0</v>
      </c>
      <c r="H65" s="17">
        <f t="shared" si="40"/>
        <v>0</v>
      </c>
      <c r="I65" s="17">
        <f t="shared" si="40"/>
        <v>0</v>
      </c>
      <c r="J65" s="17">
        <f t="shared" si="40"/>
        <v>0</v>
      </c>
      <c r="K65" s="17">
        <f t="shared" si="40"/>
        <v>0</v>
      </c>
      <c r="L65" s="17">
        <f t="shared" si="40"/>
        <v>0</v>
      </c>
      <c r="M65" s="17">
        <f t="shared" si="40"/>
        <v>0</v>
      </c>
      <c r="N65" s="17">
        <f t="shared" si="40"/>
        <v>0</v>
      </c>
      <c r="O65" s="17">
        <f t="shared" si="40"/>
        <v>0</v>
      </c>
      <c r="P65" s="17">
        <f t="shared" si="40"/>
        <v>0</v>
      </c>
      <c r="Q65" s="17">
        <f t="shared" si="40"/>
        <v>0</v>
      </c>
      <c r="R65" s="17">
        <f t="shared" si="40"/>
        <v>0</v>
      </c>
      <c r="S65" s="17">
        <f t="shared" si="40"/>
        <v>0</v>
      </c>
      <c r="T65" s="17">
        <f t="shared" si="40"/>
        <v>0</v>
      </c>
      <c r="U65" s="17">
        <f t="shared" si="40"/>
        <v>0</v>
      </c>
      <c r="V65" s="17">
        <f t="shared" si="40"/>
        <v>0</v>
      </c>
      <c r="W65" s="17">
        <f t="shared" si="40"/>
        <v>0</v>
      </c>
      <c r="X65" s="17">
        <f t="shared" si="40"/>
        <v>0</v>
      </c>
      <c r="Y65" s="17">
        <f t="shared" si="40"/>
        <v>0</v>
      </c>
      <c r="Z65" s="17">
        <f t="shared" si="40"/>
        <v>0</v>
      </c>
      <c r="AA65" s="17">
        <f t="shared" si="40"/>
        <v>0</v>
      </c>
      <c r="AB65" s="17">
        <f t="shared" si="40"/>
        <v>0</v>
      </c>
      <c r="AC65" s="17">
        <f t="shared" si="40"/>
        <v>0</v>
      </c>
      <c r="AD65" s="17">
        <f t="shared" si="40"/>
        <v>0</v>
      </c>
      <c r="AE65" s="17">
        <f t="shared" si="40"/>
        <v>0</v>
      </c>
      <c r="AF65" s="17">
        <f t="shared" si="40"/>
        <v>0</v>
      </c>
      <c r="AG65" s="17">
        <f t="shared" si="40"/>
        <v>0</v>
      </c>
      <c r="AH65" s="17">
        <f t="shared" si="40"/>
        <v>0</v>
      </c>
      <c r="AI65" s="17">
        <f t="shared" si="40"/>
        <v>0</v>
      </c>
      <c r="AJ65" s="17">
        <f t="shared" si="40"/>
        <v>0</v>
      </c>
      <c r="AK65" s="17">
        <f t="shared" si="40"/>
        <v>0</v>
      </c>
      <c r="AL65" s="17">
        <f t="shared" si="40"/>
        <v>0</v>
      </c>
      <c r="AM65" s="17">
        <f t="shared" si="40"/>
        <v>0</v>
      </c>
      <c r="AN65" s="17">
        <f t="shared" si="40"/>
        <v>0</v>
      </c>
      <c r="AO65" s="17">
        <f t="shared" si="40"/>
        <v>0</v>
      </c>
    </row>
    <row r="66" spans="1:41" s="58" customFormat="1" ht="18.95" customHeight="1" x14ac:dyDescent="0.3">
      <c r="A66" s="70" t="s">
        <v>68</v>
      </c>
      <c r="B66" s="16"/>
      <c r="C66" s="17">
        <f>C61+C65</f>
        <v>1723500</v>
      </c>
      <c r="D66" s="28"/>
      <c r="E66" s="3"/>
      <c r="F66" s="17">
        <f>F61+F65</f>
        <v>1553800</v>
      </c>
      <c r="G66" s="17">
        <f t="shared" ref="G66:AO66" si="41">G61+G65</f>
        <v>0</v>
      </c>
      <c r="H66" s="17">
        <f t="shared" si="41"/>
        <v>1553800</v>
      </c>
      <c r="I66" s="17">
        <f t="shared" si="41"/>
        <v>39000</v>
      </c>
      <c r="J66" s="17">
        <f t="shared" si="41"/>
        <v>0</v>
      </c>
      <c r="K66" s="17">
        <f t="shared" si="41"/>
        <v>39000</v>
      </c>
      <c r="L66" s="17">
        <f t="shared" si="41"/>
        <v>0</v>
      </c>
      <c r="M66" s="17">
        <f t="shared" si="41"/>
        <v>0</v>
      </c>
      <c r="N66" s="17">
        <f t="shared" si="41"/>
        <v>0</v>
      </c>
      <c r="O66" s="17">
        <f t="shared" si="41"/>
        <v>44000</v>
      </c>
      <c r="P66" s="17">
        <f t="shared" si="41"/>
        <v>0</v>
      </c>
      <c r="Q66" s="17">
        <f t="shared" si="41"/>
        <v>44000</v>
      </c>
      <c r="R66" s="17">
        <f t="shared" si="41"/>
        <v>86700</v>
      </c>
      <c r="S66" s="17">
        <f t="shared" si="41"/>
        <v>0</v>
      </c>
      <c r="T66" s="17">
        <f t="shared" si="41"/>
        <v>86700</v>
      </c>
      <c r="U66" s="17">
        <f t="shared" si="41"/>
        <v>0</v>
      </c>
      <c r="V66" s="17">
        <f t="shared" si="41"/>
        <v>0</v>
      </c>
      <c r="W66" s="17">
        <f t="shared" si="41"/>
        <v>0</v>
      </c>
      <c r="X66" s="17">
        <f t="shared" si="41"/>
        <v>0</v>
      </c>
      <c r="Y66" s="17">
        <f t="shared" si="41"/>
        <v>0</v>
      </c>
      <c r="Z66" s="17">
        <f t="shared" si="41"/>
        <v>0</v>
      </c>
      <c r="AA66" s="17">
        <f t="shared" si="41"/>
        <v>0</v>
      </c>
      <c r="AB66" s="17">
        <f t="shared" si="41"/>
        <v>0</v>
      </c>
      <c r="AC66" s="17">
        <f t="shared" si="41"/>
        <v>0</v>
      </c>
      <c r="AD66" s="17">
        <f t="shared" si="41"/>
        <v>0</v>
      </c>
      <c r="AE66" s="17">
        <f t="shared" si="41"/>
        <v>0</v>
      </c>
      <c r="AF66" s="17">
        <f t="shared" si="41"/>
        <v>0</v>
      </c>
      <c r="AG66" s="17">
        <f t="shared" si="41"/>
        <v>0</v>
      </c>
      <c r="AH66" s="17">
        <f t="shared" si="41"/>
        <v>0</v>
      </c>
      <c r="AI66" s="17">
        <f t="shared" si="41"/>
        <v>0</v>
      </c>
      <c r="AJ66" s="17">
        <f t="shared" si="41"/>
        <v>0</v>
      </c>
      <c r="AK66" s="17">
        <f t="shared" si="41"/>
        <v>0</v>
      </c>
      <c r="AL66" s="17">
        <f t="shared" si="41"/>
        <v>0</v>
      </c>
      <c r="AM66" s="17">
        <f t="shared" si="41"/>
        <v>0</v>
      </c>
      <c r="AN66" s="17">
        <f t="shared" si="41"/>
        <v>0</v>
      </c>
      <c r="AO66" s="17">
        <f t="shared" si="41"/>
        <v>0</v>
      </c>
    </row>
    <row r="67" spans="1:41" s="58" customFormat="1" ht="18.95" customHeight="1" x14ac:dyDescent="0.3">
      <c r="A67" s="15"/>
      <c r="B67" s="16"/>
      <c r="C67" s="28"/>
      <c r="D67" s="28"/>
      <c r="E67" s="3"/>
      <c r="F67" s="65"/>
      <c r="G67" s="65"/>
      <c r="H67" s="65"/>
      <c r="I67" s="66"/>
      <c r="J67" s="66"/>
      <c r="K67" s="66"/>
      <c r="L67" s="65"/>
      <c r="M67" s="65"/>
      <c r="N67" s="65"/>
      <c r="O67" s="66"/>
      <c r="P67" s="66"/>
      <c r="Q67" s="66"/>
      <c r="R67" s="65"/>
      <c r="S67" s="65"/>
      <c r="T67" s="65"/>
      <c r="U67" s="66"/>
      <c r="V67" s="66"/>
      <c r="W67" s="66"/>
      <c r="X67" s="65"/>
      <c r="Y67" s="65"/>
      <c r="Z67" s="65"/>
      <c r="AA67" s="66"/>
      <c r="AB67" s="66"/>
      <c r="AC67" s="66"/>
      <c r="AD67" s="65"/>
      <c r="AE67" s="65"/>
      <c r="AF67" s="65"/>
      <c r="AG67" s="66"/>
      <c r="AH67" s="66"/>
      <c r="AI67" s="66"/>
      <c r="AJ67" s="65"/>
      <c r="AK67" s="65"/>
      <c r="AL67" s="65"/>
      <c r="AM67" s="66"/>
      <c r="AN67" s="66"/>
      <c r="AO67" s="66"/>
    </row>
    <row r="68" spans="1:41" s="58" customFormat="1" ht="17.25" x14ac:dyDescent="0.3">
      <c r="A68" s="70" t="s">
        <v>74</v>
      </c>
      <c r="B68" s="16"/>
      <c r="C68" s="43"/>
      <c r="D68" s="44"/>
      <c r="E68" s="3"/>
      <c r="F68" s="65"/>
      <c r="G68" s="65"/>
      <c r="H68" s="65"/>
      <c r="I68" s="66"/>
      <c r="J68" s="66"/>
      <c r="K68" s="66"/>
      <c r="L68" s="65"/>
      <c r="M68" s="65"/>
      <c r="N68" s="65"/>
      <c r="O68" s="66"/>
      <c r="P68" s="66"/>
      <c r="Q68" s="66"/>
      <c r="R68" s="65"/>
      <c r="S68" s="65"/>
      <c r="T68" s="65"/>
      <c r="U68" s="66"/>
      <c r="V68" s="66"/>
      <c r="W68" s="66"/>
      <c r="X68" s="65"/>
      <c r="Y68" s="65"/>
      <c r="Z68" s="65"/>
      <c r="AA68" s="66"/>
      <c r="AB68" s="66"/>
      <c r="AC68" s="66"/>
      <c r="AD68" s="65"/>
      <c r="AE68" s="65"/>
      <c r="AF68" s="65"/>
      <c r="AG68" s="66"/>
      <c r="AH68" s="66"/>
      <c r="AI68" s="66"/>
      <c r="AJ68" s="65"/>
      <c r="AK68" s="65"/>
      <c r="AL68" s="65"/>
      <c r="AM68" s="66"/>
      <c r="AN68" s="66"/>
      <c r="AO68" s="66"/>
    </row>
    <row r="69" spans="1:41" s="58" customFormat="1" ht="17.25" x14ac:dyDescent="0.3">
      <c r="A69" s="15" t="s">
        <v>21</v>
      </c>
      <c r="B69" s="16"/>
      <c r="C69" s="14">
        <f t="shared" ref="C69" si="42">H69+K69+N69+Q69+T69+W69+Z69+AC69+AF69+AI69+AL69</f>
        <v>0</v>
      </c>
      <c r="D69" s="45"/>
      <c r="E69" s="3"/>
      <c r="F69" s="132">
        <v>0</v>
      </c>
      <c r="G69" s="65"/>
      <c r="H69" s="65">
        <f t="shared" si="27"/>
        <v>0</v>
      </c>
      <c r="I69" s="132">
        <v>0</v>
      </c>
      <c r="J69" s="66"/>
      <c r="K69" s="66">
        <f t="shared" si="28"/>
        <v>0</v>
      </c>
      <c r="L69" s="65">
        <v>0</v>
      </c>
      <c r="M69" s="65"/>
      <c r="N69" s="65">
        <f t="shared" si="29"/>
        <v>0</v>
      </c>
      <c r="O69" s="132">
        <v>0</v>
      </c>
      <c r="P69" s="66"/>
      <c r="Q69" s="66">
        <f t="shared" si="30"/>
        <v>0</v>
      </c>
      <c r="R69" s="132">
        <v>0</v>
      </c>
      <c r="S69" s="65"/>
      <c r="T69" s="65">
        <f t="shared" si="31"/>
        <v>0</v>
      </c>
      <c r="U69" s="132"/>
      <c r="V69" s="66"/>
      <c r="W69" s="66">
        <f t="shared" si="32"/>
        <v>0</v>
      </c>
      <c r="X69" s="132"/>
      <c r="Y69" s="65"/>
      <c r="Z69" s="65">
        <f t="shared" si="33"/>
        <v>0</v>
      </c>
      <c r="AA69" s="132"/>
      <c r="AB69" s="66"/>
      <c r="AC69" s="66">
        <f t="shared" si="34"/>
        <v>0</v>
      </c>
      <c r="AD69" s="65"/>
      <c r="AE69" s="65"/>
      <c r="AF69" s="65">
        <f t="shared" si="35"/>
        <v>0</v>
      </c>
      <c r="AG69" s="66"/>
      <c r="AH69" s="66"/>
      <c r="AI69" s="66">
        <f t="shared" si="36"/>
        <v>0</v>
      </c>
      <c r="AJ69" s="65"/>
      <c r="AK69" s="65"/>
      <c r="AL69" s="65">
        <f t="shared" si="37"/>
        <v>0</v>
      </c>
      <c r="AM69" s="66"/>
      <c r="AN69" s="66"/>
      <c r="AO69" s="66">
        <f t="shared" ref="AO69:AO72" si="43">AM69+AN69</f>
        <v>0</v>
      </c>
    </row>
    <row r="70" spans="1:41" s="58" customFormat="1" ht="17.25" x14ac:dyDescent="0.3">
      <c r="A70" s="15" t="s">
        <v>22</v>
      </c>
      <c r="B70" s="16"/>
      <c r="C70" s="14">
        <f>H70+K70+N70+Q70+T70+W70+Z70+AC70+AF70+AI70+AL70+AO70</f>
        <v>66114</v>
      </c>
      <c r="D70" s="24"/>
      <c r="E70" s="3"/>
      <c r="F70" s="132">
        <v>47664</v>
      </c>
      <c r="G70" s="65"/>
      <c r="H70" s="65">
        <f t="shared" si="27"/>
        <v>47664</v>
      </c>
      <c r="I70" s="132">
        <v>6600</v>
      </c>
      <c r="J70" s="66"/>
      <c r="K70" s="66">
        <f t="shared" si="28"/>
        <v>6600</v>
      </c>
      <c r="L70" s="65">
        <v>0</v>
      </c>
      <c r="M70" s="65"/>
      <c r="N70" s="65">
        <f t="shared" si="29"/>
        <v>0</v>
      </c>
      <c r="O70" s="132">
        <v>7650</v>
      </c>
      <c r="P70" s="66"/>
      <c r="Q70" s="66">
        <f t="shared" si="30"/>
        <v>7650</v>
      </c>
      <c r="R70" s="132">
        <v>0</v>
      </c>
      <c r="S70" s="65"/>
      <c r="T70" s="65">
        <f t="shared" si="31"/>
        <v>0</v>
      </c>
      <c r="U70" s="132"/>
      <c r="V70" s="66"/>
      <c r="W70" s="66">
        <f t="shared" si="32"/>
        <v>0</v>
      </c>
      <c r="X70" s="132">
        <v>2000</v>
      </c>
      <c r="Y70" s="65"/>
      <c r="Z70" s="65">
        <f t="shared" si="33"/>
        <v>2000</v>
      </c>
      <c r="AA70" s="132">
        <v>0</v>
      </c>
      <c r="AB70" s="66"/>
      <c r="AC70" s="66">
        <f t="shared" si="34"/>
        <v>0</v>
      </c>
      <c r="AD70" s="65">
        <v>2200</v>
      </c>
      <c r="AE70" s="65"/>
      <c r="AF70" s="65">
        <f t="shared" si="35"/>
        <v>2200</v>
      </c>
      <c r="AG70" s="66"/>
      <c r="AH70" s="66"/>
      <c r="AI70" s="66">
        <f t="shared" si="36"/>
        <v>0</v>
      </c>
      <c r="AJ70" s="65"/>
      <c r="AK70" s="65"/>
      <c r="AL70" s="65">
        <f t="shared" si="37"/>
        <v>0</v>
      </c>
      <c r="AM70" s="66"/>
      <c r="AN70" s="66"/>
      <c r="AO70" s="66">
        <f t="shared" si="43"/>
        <v>0</v>
      </c>
    </row>
    <row r="71" spans="1:41" s="58" customFormat="1" ht="17.25" x14ac:dyDescent="0.3">
      <c r="A71" s="15" t="s">
        <v>23</v>
      </c>
      <c r="B71" s="16"/>
      <c r="C71" s="14">
        <f>H71+K71+N71+Q71+T71+W71+Z71+AC71+AF71+AI71+AL71+AO71</f>
        <v>60894</v>
      </c>
      <c r="D71" s="24"/>
      <c r="E71" s="3"/>
      <c r="F71" s="132">
        <v>119496</v>
      </c>
      <c r="G71" s="120">
        <v>-100000</v>
      </c>
      <c r="H71" s="65">
        <f t="shared" si="27"/>
        <v>19496</v>
      </c>
      <c r="I71" s="132">
        <v>61421</v>
      </c>
      <c r="J71" s="120">
        <v>-42873</v>
      </c>
      <c r="K71" s="66">
        <f t="shared" si="28"/>
        <v>18548</v>
      </c>
      <c r="L71" s="65">
        <v>0</v>
      </c>
      <c r="M71" s="65"/>
      <c r="N71" s="65">
        <f t="shared" si="29"/>
        <v>0</v>
      </c>
      <c r="O71" s="132">
        <v>215162</v>
      </c>
      <c r="P71" s="120">
        <v>-192312</v>
      </c>
      <c r="Q71" s="66">
        <f t="shared" si="30"/>
        <v>22850</v>
      </c>
      <c r="R71" s="132">
        <v>0</v>
      </c>
      <c r="S71" s="120"/>
      <c r="T71" s="65">
        <f t="shared" si="31"/>
        <v>0</v>
      </c>
      <c r="U71" s="132">
        <v>0</v>
      </c>
      <c r="V71" s="120">
        <v>0</v>
      </c>
      <c r="W71" s="66">
        <f t="shared" si="32"/>
        <v>0</v>
      </c>
      <c r="X71" s="132">
        <v>0</v>
      </c>
      <c r="Y71" s="65"/>
      <c r="Z71" s="65">
        <f t="shared" si="33"/>
        <v>0</v>
      </c>
      <c r="AA71" s="132">
        <v>0</v>
      </c>
      <c r="AB71" s="120">
        <v>0</v>
      </c>
      <c r="AC71" s="66">
        <f t="shared" si="34"/>
        <v>0</v>
      </c>
      <c r="AD71" s="65">
        <v>0</v>
      </c>
      <c r="AE71" s="120"/>
      <c r="AF71" s="65">
        <f t="shared" si="35"/>
        <v>0</v>
      </c>
      <c r="AG71" s="66"/>
      <c r="AH71" s="66"/>
      <c r="AI71" s="66">
        <f t="shared" si="36"/>
        <v>0</v>
      </c>
      <c r="AJ71" s="65"/>
      <c r="AK71" s="65"/>
      <c r="AL71" s="65">
        <f t="shared" si="37"/>
        <v>0</v>
      </c>
      <c r="AM71" s="66"/>
      <c r="AN71" s="66"/>
      <c r="AO71" s="66">
        <f t="shared" si="43"/>
        <v>0</v>
      </c>
    </row>
    <row r="72" spans="1:41" s="58" customFormat="1" ht="17.25" x14ac:dyDescent="0.3">
      <c r="A72" s="15" t="s">
        <v>24</v>
      </c>
      <c r="B72" s="16"/>
      <c r="C72" s="14">
        <f>H72+K72+N72+Q72+T72+W72+Z72+AC72+AF72+AI72+AL72+AO72</f>
        <v>3030952</v>
      </c>
      <c r="D72" s="24"/>
      <c r="E72" s="3"/>
      <c r="F72" s="132">
        <v>636990</v>
      </c>
      <c r="G72" s="65"/>
      <c r="H72" s="65">
        <f t="shared" si="27"/>
        <v>636990</v>
      </c>
      <c r="I72" s="132">
        <v>387147</v>
      </c>
      <c r="J72" s="66"/>
      <c r="K72" s="66">
        <f t="shared" si="28"/>
        <v>387147</v>
      </c>
      <c r="L72" s="65">
        <v>0</v>
      </c>
      <c r="M72" s="65"/>
      <c r="N72" s="65">
        <f t="shared" si="29"/>
        <v>0</v>
      </c>
      <c r="O72" s="132">
        <v>214437</v>
      </c>
      <c r="P72" s="66"/>
      <c r="Q72" s="66">
        <f t="shared" si="30"/>
        <v>214437</v>
      </c>
      <c r="R72" s="132">
        <v>1440473</v>
      </c>
      <c r="S72" s="65"/>
      <c r="T72" s="65">
        <f t="shared" si="31"/>
        <v>1440473</v>
      </c>
      <c r="U72" s="132">
        <v>104898</v>
      </c>
      <c r="V72" s="66"/>
      <c r="W72" s="66">
        <f t="shared" si="32"/>
        <v>104898</v>
      </c>
      <c r="X72" s="132">
        <v>120396</v>
      </c>
      <c r="Y72" s="65"/>
      <c r="Z72" s="65">
        <f t="shared" si="33"/>
        <v>120396</v>
      </c>
      <c r="AA72" s="132">
        <v>98639</v>
      </c>
      <c r="AB72" s="66"/>
      <c r="AC72" s="66">
        <f t="shared" si="34"/>
        <v>98639</v>
      </c>
      <c r="AD72" s="65">
        <v>27972</v>
      </c>
      <c r="AE72" s="65"/>
      <c r="AF72" s="65">
        <f t="shared" si="35"/>
        <v>27972</v>
      </c>
      <c r="AG72" s="66"/>
      <c r="AH72" s="66"/>
      <c r="AI72" s="66">
        <f t="shared" si="36"/>
        <v>0</v>
      </c>
      <c r="AJ72" s="65"/>
      <c r="AK72" s="65"/>
      <c r="AL72" s="65">
        <f t="shared" si="37"/>
        <v>0</v>
      </c>
      <c r="AM72" s="66"/>
      <c r="AN72" s="66"/>
      <c r="AO72" s="66">
        <f t="shared" si="43"/>
        <v>0</v>
      </c>
    </row>
    <row r="73" spans="1:41" s="58" customFormat="1" ht="18.95" customHeight="1" x14ac:dyDescent="0.3">
      <c r="A73" s="4" t="s">
        <v>25</v>
      </c>
      <c r="B73" s="16"/>
      <c r="C73" s="17">
        <f>SUM(C69:C72)</f>
        <v>3157960</v>
      </c>
      <c r="D73" s="28"/>
      <c r="E73" s="3"/>
      <c r="F73" s="17">
        <f>SUM(F69:F72)</f>
        <v>804150</v>
      </c>
      <c r="G73" s="17">
        <f t="shared" ref="G73:AO73" si="44">SUM(G69:G72)</f>
        <v>-100000</v>
      </c>
      <c r="H73" s="17">
        <f t="shared" si="44"/>
        <v>704150</v>
      </c>
      <c r="I73" s="17">
        <f t="shared" si="44"/>
        <v>455168</v>
      </c>
      <c r="J73" s="17">
        <f t="shared" si="44"/>
        <v>-42873</v>
      </c>
      <c r="K73" s="17">
        <f t="shared" si="44"/>
        <v>412295</v>
      </c>
      <c r="L73" s="17">
        <f t="shared" si="44"/>
        <v>0</v>
      </c>
      <c r="M73" s="17">
        <f t="shared" si="44"/>
        <v>0</v>
      </c>
      <c r="N73" s="17">
        <f t="shared" si="44"/>
        <v>0</v>
      </c>
      <c r="O73" s="17">
        <f t="shared" si="44"/>
        <v>437249</v>
      </c>
      <c r="P73" s="17">
        <f t="shared" si="44"/>
        <v>-192312</v>
      </c>
      <c r="Q73" s="17">
        <f t="shared" si="44"/>
        <v>244937</v>
      </c>
      <c r="R73" s="17">
        <f t="shared" si="44"/>
        <v>1440473</v>
      </c>
      <c r="S73" s="17">
        <f t="shared" si="44"/>
        <v>0</v>
      </c>
      <c r="T73" s="17">
        <f t="shared" si="44"/>
        <v>1440473</v>
      </c>
      <c r="U73" s="17">
        <f t="shared" si="44"/>
        <v>104898</v>
      </c>
      <c r="V73" s="17">
        <f t="shared" si="44"/>
        <v>0</v>
      </c>
      <c r="W73" s="17">
        <f t="shared" si="44"/>
        <v>104898</v>
      </c>
      <c r="X73" s="17">
        <f t="shared" si="44"/>
        <v>122396</v>
      </c>
      <c r="Y73" s="17">
        <f t="shared" si="44"/>
        <v>0</v>
      </c>
      <c r="Z73" s="17">
        <f t="shared" si="44"/>
        <v>122396</v>
      </c>
      <c r="AA73" s="17">
        <f t="shared" si="44"/>
        <v>98639</v>
      </c>
      <c r="AB73" s="17">
        <f t="shared" si="44"/>
        <v>0</v>
      </c>
      <c r="AC73" s="17">
        <f t="shared" si="44"/>
        <v>98639</v>
      </c>
      <c r="AD73" s="17">
        <f t="shared" si="44"/>
        <v>30172</v>
      </c>
      <c r="AE73" s="17">
        <f t="shared" si="44"/>
        <v>0</v>
      </c>
      <c r="AF73" s="17">
        <f t="shared" si="44"/>
        <v>30172</v>
      </c>
      <c r="AG73" s="17">
        <f t="shared" si="44"/>
        <v>0</v>
      </c>
      <c r="AH73" s="17">
        <f t="shared" si="44"/>
        <v>0</v>
      </c>
      <c r="AI73" s="17">
        <f t="shared" si="44"/>
        <v>0</v>
      </c>
      <c r="AJ73" s="17">
        <f t="shared" si="44"/>
        <v>0</v>
      </c>
      <c r="AK73" s="17">
        <f t="shared" si="44"/>
        <v>0</v>
      </c>
      <c r="AL73" s="17">
        <f t="shared" si="44"/>
        <v>0</v>
      </c>
      <c r="AM73" s="17">
        <f t="shared" si="44"/>
        <v>0</v>
      </c>
      <c r="AN73" s="17">
        <f t="shared" si="44"/>
        <v>0</v>
      </c>
      <c r="AO73" s="17">
        <f t="shared" si="44"/>
        <v>0</v>
      </c>
    </row>
    <row r="74" spans="1:41" s="58" customFormat="1" ht="18.95" customHeight="1" thickBot="1" x14ac:dyDescent="0.35">
      <c r="A74" s="70" t="s">
        <v>69</v>
      </c>
      <c r="B74" s="16"/>
      <c r="C74" s="17">
        <f>C66+C73</f>
        <v>4881460</v>
      </c>
      <c r="D74" s="28"/>
      <c r="E74" s="3"/>
      <c r="F74" s="17">
        <f t="shared" ref="F74:AO74" si="45">F66+F73</f>
        <v>2357950</v>
      </c>
      <c r="G74" s="17">
        <f t="shared" si="45"/>
        <v>-100000</v>
      </c>
      <c r="H74" s="17">
        <f t="shared" si="45"/>
        <v>2257950</v>
      </c>
      <c r="I74" s="17">
        <f t="shared" si="45"/>
        <v>494168</v>
      </c>
      <c r="J74" s="17">
        <f t="shared" si="45"/>
        <v>-42873</v>
      </c>
      <c r="K74" s="17">
        <f t="shared" si="45"/>
        <v>451295</v>
      </c>
      <c r="L74" s="17">
        <f t="shared" si="45"/>
        <v>0</v>
      </c>
      <c r="M74" s="17">
        <f t="shared" si="45"/>
        <v>0</v>
      </c>
      <c r="N74" s="17">
        <f t="shared" si="45"/>
        <v>0</v>
      </c>
      <c r="O74" s="17">
        <f t="shared" si="45"/>
        <v>481249</v>
      </c>
      <c r="P74" s="17">
        <f t="shared" si="45"/>
        <v>-192312</v>
      </c>
      <c r="Q74" s="17">
        <f t="shared" si="45"/>
        <v>288937</v>
      </c>
      <c r="R74" s="17">
        <f t="shared" si="45"/>
        <v>1527173</v>
      </c>
      <c r="S74" s="17">
        <f t="shared" si="45"/>
        <v>0</v>
      </c>
      <c r="T74" s="17">
        <f t="shared" si="45"/>
        <v>1527173</v>
      </c>
      <c r="U74" s="17">
        <f t="shared" si="45"/>
        <v>104898</v>
      </c>
      <c r="V74" s="17">
        <f t="shared" si="45"/>
        <v>0</v>
      </c>
      <c r="W74" s="17">
        <f t="shared" si="45"/>
        <v>104898</v>
      </c>
      <c r="X74" s="17">
        <f t="shared" si="45"/>
        <v>122396</v>
      </c>
      <c r="Y74" s="17">
        <f t="shared" si="45"/>
        <v>0</v>
      </c>
      <c r="Z74" s="17">
        <f t="shared" si="45"/>
        <v>122396</v>
      </c>
      <c r="AA74" s="17">
        <f t="shared" si="45"/>
        <v>98639</v>
      </c>
      <c r="AB74" s="17">
        <f t="shared" si="45"/>
        <v>0</v>
      </c>
      <c r="AC74" s="17">
        <f t="shared" si="45"/>
        <v>98639</v>
      </c>
      <c r="AD74" s="17">
        <f t="shared" si="45"/>
        <v>30172</v>
      </c>
      <c r="AE74" s="17">
        <f t="shared" si="45"/>
        <v>0</v>
      </c>
      <c r="AF74" s="17">
        <f t="shared" si="45"/>
        <v>30172</v>
      </c>
      <c r="AG74" s="17">
        <f t="shared" si="45"/>
        <v>0</v>
      </c>
      <c r="AH74" s="17">
        <f t="shared" si="45"/>
        <v>0</v>
      </c>
      <c r="AI74" s="17">
        <f t="shared" si="45"/>
        <v>0</v>
      </c>
      <c r="AJ74" s="17">
        <f t="shared" si="45"/>
        <v>0</v>
      </c>
      <c r="AK74" s="17">
        <f t="shared" si="45"/>
        <v>0</v>
      </c>
      <c r="AL74" s="17">
        <f t="shared" si="45"/>
        <v>0</v>
      </c>
      <c r="AM74" s="17">
        <f t="shared" si="45"/>
        <v>0</v>
      </c>
      <c r="AN74" s="17">
        <f t="shared" si="45"/>
        <v>0</v>
      </c>
      <c r="AO74" s="17">
        <f t="shared" si="45"/>
        <v>0</v>
      </c>
    </row>
    <row r="75" spans="1:41" s="58" customFormat="1" ht="18" thickTop="1" x14ac:dyDescent="0.3">
      <c r="A75" s="15" t="s">
        <v>1</v>
      </c>
      <c r="B75" s="16"/>
      <c r="C75" s="46"/>
      <c r="D75" s="24"/>
      <c r="E75" s="3"/>
      <c r="F75" s="65"/>
      <c r="G75" s="65"/>
      <c r="H75" s="65"/>
      <c r="I75" s="66"/>
      <c r="J75" s="66"/>
      <c r="K75" s="66"/>
      <c r="L75" s="65"/>
      <c r="M75" s="65"/>
      <c r="N75" s="65"/>
      <c r="O75" s="66"/>
      <c r="P75" s="66"/>
      <c r="Q75" s="66"/>
      <c r="R75" s="65"/>
      <c r="S75" s="65"/>
      <c r="T75" s="65"/>
      <c r="U75" s="66"/>
      <c r="V75" s="66"/>
      <c r="W75" s="66"/>
      <c r="X75" s="65"/>
      <c r="Y75" s="65"/>
      <c r="Z75" s="65"/>
      <c r="AA75" s="66"/>
      <c r="AB75" s="66"/>
      <c r="AC75" s="66"/>
      <c r="AD75" s="65"/>
      <c r="AE75" s="65"/>
      <c r="AF75" s="65"/>
      <c r="AG75" s="66"/>
      <c r="AH75" s="66"/>
      <c r="AI75" s="66"/>
      <c r="AJ75" s="65"/>
      <c r="AK75" s="65"/>
      <c r="AL75" s="65"/>
      <c r="AM75" s="66"/>
      <c r="AN75" s="66"/>
      <c r="AO75" s="66"/>
    </row>
    <row r="76" spans="1:41" s="58" customFormat="1" ht="17.25" x14ac:dyDescent="0.3">
      <c r="A76" s="4" t="s">
        <v>26</v>
      </c>
      <c r="B76" s="16"/>
      <c r="C76" s="19"/>
      <c r="D76" s="24"/>
      <c r="E76" s="3"/>
      <c r="F76" s="65"/>
      <c r="G76" s="65"/>
      <c r="H76" s="65"/>
      <c r="I76" s="66"/>
      <c r="J76" s="66"/>
      <c r="K76" s="66"/>
      <c r="L76" s="65"/>
      <c r="M76" s="65"/>
      <c r="N76" s="65"/>
      <c r="O76" s="66"/>
      <c r="P76" s="66"/>
      <c r="Q76" s="66"/>
      <c r="R76" s="65"/>
      <c r="S76" s="65"/>
      <c r="T76" s="65"/>
      <c r="U76" s="66"/>
      <c r="V76" s="66"/>
      <c r="W76" s="66"/>
      <c r="X76" s="65"/>
      <c r="Y76" s="65"/>
      <c r="Z76" s="65"/>
      <c r="AA76" s="66"/>
      <c r="AB76" s="66"/>
      <c r="AC76" s="66"/>
      <c r="AD76" s="65"/>
      <c r="AE76" s="65"/>
      <c r="AF76" s="65"/>
      <c r="AG76" s="66"/>
      <c r="AH76" s="66"/>
      <c r="AI76" s="66"/>
      <c r="AJ76" s="65"/>
      <c r="AK76" s="65"/>
      <c r="AL76" s="65"/>
      <c r="AM76" s="66"/>
      <c r="AN76" s="66"/>
      <c r="AO76" s="66"/>
    </row>
    <row r="77" spans="1:41" s="58" customFormat="1" ht="6.95" customHeight="1" x14ac:dyDescent="0.3">
      <c r="A77" s="4"/>
      <c r="B77" s="16"/>
      <c r="C77" s="19"/>
      <c r="D77" s="24"/>
      <c r="E77" s="3"/>
      <c r="F77" s="65"/>
      <c r="G77" s="65"/>
      <c r="H77" s="65"/>
      <c r="I77" s="66"/>
      <c r="J77" s="66"/>
      <c r="K77" s="66"/>
      <c r="L77" s="65"/>
      <c r="M77" s="65"/>
      <c r="N77" s="65"/>
      <c r="O77" s="66"/>
      <c r="P77" s="66"/>
      <c r="Q77" s="66"/>
      <c r="R77" s="65"/>
      <c r="S77" s="65"/>
      <c r="T77" s="65"/>
      <c r="U77" s="66"/>
      <c r="V77" s="66"/>
      <c r="W77" s="66"/>
      <c r="X77" s="65"/>
      <c r="Y77" s="65"/>
      <c r="Z77" s="65"/>
      <c r="AA77" s="66"/>
      <c r="AB77" s="66"/>
      <c r="AC77" s="66"/>
      <c r="AD77" s="65"/>
      <c r="AE77" s="65"/>
      <c r="AF77" s="65"/>
      <c r="AG77" s="66"/>
      <c r="AH77" s="66"/>
      <c r="AI77" s="66"/>
      <c r="AJ77" s="65"/>
      <c r="AK77" s="65"/>
      <c r="AL77" s="65"/>
      <c r="AM77" s="66"/>
      <c r="AN77" s="66"/>
      <c r="AO77" s="66"/>
    </row>
    <row r="78" spans="1:41" s="58" customFormat="1" ht="17.25" x14ac:dyDescent="0.3">
      <c r="A78" s="4" t="s">
        <v>27</v>
      </c>
      <c r="B78" s="25"/>
      <c r="C78" s="47"/>
      <c r="D78" s="48"/>
      <c r="E78" s="3"/>
      <c r="F78" s="65"/>
      <c r="G78" s="65"/>
      <c r="H78" s="65"/>
      <c r="I78" s="66"/>
      <c r="J78" s="66"/>
      <c r="K78" s="66"/>
      <c r="L78" s="65"/>
      <c r="M78" s="65"/>
      <c r="N78" s="65"/>
      <c r="O78" s="66"/>
      <c r="P78" s="66"/>
      <c r="Q78" s="66"/>
      <c r="R78" s="65"/>
      <c r="S78" s="65"/>
      <c r="T78" s="65"/>
      <c r="U78" s="66"/>
      <c r="V78" s="66"/>
      <c r="W78" s="66"/>
      <c r="X78" s="65"/>
      <c r="Y78" s="65"/>
      <c r="Z78" s="65"/>
      <c r="AA78" s="66"/>
      <c r="AB78" s="66"/>
      <c r="AC78" s="66"/>
      <c r="AD78" s="65"/>
      <c r="AE78" s="65"/>
      <c r="AF78" s="65"/>
      <c r="AG78" s="66"/>
      <c r="AH78" s="66"/>
      <c r="AI78" s="66"/>
      <c r="AJ78" s="65"/>
      <c r="AK78" s="65"/>
      <c r="AL78" s="65"/>
      <c r="AM78" s="66"/>
      <c r="AN78" s="66"/>
      <c r="AO78" s="66"/>
    </row>
    <row r="79" spans="1:41" s="58" customFormat="1" ht="17.25" hidden="1" x14ac:dyDescent="0.3">
      <c r="A79" s="4" t="s">
        <v>28</v>
      </c>
      <c r="B79" s="16"/>
      <c r="C79" s="19"/>
      <c r="D79" s="24"/>
      <c r="E79" s="3"/>
      <c r="F79" s="65"/>
      <c r="G79" s="65"/>
      <c r="H79" s="65"/>
      <c r="I79" s="66"/>
      <c r="J79" s="66"/>
      <c r="K79" s="66"/>
      <c r="L79" s="65"/>
      <c r="M79" s="65"/>
      <c r="N79" s="65"/>
      <c r="O79" s="66"/>
      <c r="P79" s="66"/>
      <c r="Q79" s="66"/>
      <c r="R79" s="65"/>
      <c r="S79" s="65"/>
      <c r="T79" s="65"/>
      <c r="U79" s="66"/>
      <c r="V79" s="66"/>
      <c r="W79" s="66"/>
      <c r="X79" s="65"/>
      <c r="Y79" s="65"/>
      <c r="Z79" s="65"/>
      <c r="AA79" s="66"/>
      <c r="AB79" s="66"/>
      <c r="AC79" s="66"/>
      <c r="AD79" s="65"/>
      <c r="AE79" s="65"/>
      <c r="AF79" s="65"/>
      <c r="AG79" s="66"/>
      <c r="AH79" s="66"/>
      <c r="AI79" s="66"/>
      <c r="AJ79" s="65"/>
      <c r="AK79" s="65"/>
      <c r="AL79" s="65"/>
      <c r="AM79" s="66"/>
      <c r="AN79" s="66"/>
      <c r="AO79" s="66"/>
    </row>
    <row r="80" spans="1:41" s="58" customFormat="1" ht="17.25" hidden="1" x14ac:dyDescent="0.3">
      <c r="A80" s="15" t="s">
        <v>29</v>
      </c>
      <c r="B80" s="16"/>
      <c r="C80" s="19">
        <v>0</v>
      </c>
      <c r="D80" s="24"/>
      <c r="E80" s="3"/>
      <c r="F80" s="65"/>
      <c r="G80" s="65"/>
      <c r="H80" s="65"/>
      <c r="I80" s="66"/>
      <c r="J80" s="66"/>
      <c r="K80" s="66"/>
      <c r="L80" s="65"/>
      <c r="M80" s="65"/>
      <c r="N80" s="65"/>
      <c r="O80" s="66"/>
      <c r="P80" s="66"/>
      <c r="Q80" s="66"/>
      <c r="R80" s="65"/>
      <c r="S80" s="65"/>
      <c r="T80" s="65"/>
      <c r="U80" s="66"/>
      <c r="V80" s="66"/>
      <c r="W80" s="66"/>
      <c r="X80" s="65"/>
      <c r="Y80" s="65"/>
      <c r="Z80" s="65"/>
      <c r="AA80" s="66"/>
      <c r="AB80" s="66"/>
      <c r="AC80" s="66"/>
      <c r="AD80" s="65"/>
      <c r="AE80" s="65"/>
      <c r="AF80" s="65"/>
      <c r="AG80" s="66"/>
      <c r="AH80" s="66"/>
      <c r="AI80" s="66"/>
      <c r="AJ80" s="65"/>
      <c r="AK80" s="65"/>
      <c r="AL80" s="65"/>
      <c r="AM80" s="66"/>
      <c r="AN80" s="66"/>
      <c r="AO80" s="66"/>
    </row>
    <row r="81" spans="1:41" s="58" customFormat="1" ht="17.25" hidden="1" x14ac:dyDescent="0.3">
      <c r="A81" s="4" t="s">
        <v>30</v>
      </c>
      <c r="B81" s="16"/>
      <c r="C81" s="18">
        <f>C80</f>
        <v>0</v>
      </c>
      <c r="D81" s="24"/>
      <c r="E81" s="3"/>
      <c r="F81" s="65"/>
      <c r="G81" s="65"/>
      <c r="H81" s="65"/>
      <c r="I81" s="66"/>
      <c r="J81" s="66"/>
      <c r="K81" s="66"/>
      <c r="L81" s="65"/>
      <c r="M81" s="65"/>
      <c r="N81" s="65"/>
      <c r="O81" s="66"/>
      <c r="P81" s="66"/>
      <c r="Q81" s="66"/>
      <c r="R81" s="65"/>
      <c r="S81" s="65"/>
      <c r="T81" s="65"/>
      <c r="U81" s="66"/>
      <c r="V81" s="66"/>
      <c r="W81" s="66"/>
      <c r="X81" s="65"/>
      <c r="Y81" s="65"/>
      <c r="Z81" s="65"/>
      <c r="AA81" s="66"/>
      <c r="AB81" s="66"/>
      <c r="AC81" s="66"/>
      <c r="AD81" s="65"/>
      <c r="AE81" s="65"/>
      <c r="AF81" s="65"/>
      <c r="AG81" s="66"/>
      <c r="AH81" s="66"/>
      <c r="AI81" s="66"/>
      <c r="AJ81" s="65"/>
      <c r="AK81" s="65"/>
      <c r="AL81" s="65"/>
      <c r="AM81" s="66"/>
      <c r="AN81" s="66"/>
      <c r="AO81" s="66"/>
    </row>
    <row r="82" spans="1:41" s="58" customFormat="1" ht="9.9499999999999993" customHeight="1" x14ac:dyDescent="0.3">
      <c r="A82" s="15"/>
      <c r="B82" s="16"/>
      <c r="C82" s="19"/>
      <c r="D82" s="24"/>
      <c r="E82" s="3"/>
      <c r="F82" s="65"/>
      <c r="G82" s="65"/>
      <c r="H82" s="65"/>
      <c r="I82" s="66"/>
      <c r="J82" s="66"/>
      <c r="K82" s="66"/>
      <c r="L82" s="65"/>
      <c r="M82" s="65"/>
      <c r="N82" s="65"/>
      <c r="O82" s="66"/>
      <c r="P82" s="66"/>
      <c r="Q82" s="66"/>
      <c r="R82" s="65"/>
      <c r="S82" s="65"/>
      <c r="T82" s="65"/>
      <c r="U82" s="66"/>
      <c r="V82" s="66"/>
      <c r="W82" s="66"/>
      <c r="X82" s="65"/>
      <c r="Y82" s="65"/>
      <c r="Z82" s="65"/>
      <c r="AA82" s="66"/>
      <c r="AB82" s="66"/>
      <c r="AC82" s="66"/>
      <c r="AD82" s="65"/>
      <c r="AE82" s="65"/>
      <c r="AF82" s="65"/>
      <c r="AG82" s="66"/>
      <c r="AH82" s="66"/>
      <c r="AI82" s="66"/>
      <c r="AJ82" s="65"/>
      <c r="AK82" s="65"/>
      <c r="AL82" s="65"/>
      <c r="AM82" s="66"/>
      <c r="AN82" s="66"/>
      <c r="AO82" s="66"/>
    </row>
    <row r="83" spans="1:41" s="58" customFormat="1" ht="17.25" x14ac:dyDescent="0.3">
      <c r="A83" s="15" t="s">
        <v>31</v>
      </c>
      <c r="B83" s="16"/>
      <c r="C83" s="14">
        <f>H83+K83+N83+Q83+T83+W83+Z83+AC83+AF83+AI83+AL83+AO83</f>
        <v>4523523</v>
      </c>
      <c r="D83" s="24"/>
      <c r="E83" s="3"/>
      <c r="F83" s="132">
        <v>2218752</v>
      </c>
      <c r="G83" s="65"/>
      <c r="H83" s="65">
        <f t="shared" si="27"/>
        <v>2218752</v>
      </c>
      <c r="I83" s="132">
        <v>302742</v>
      </c>
      <c r="J83" s="66"/>
      <c r="K83" s="66">
        <f t="shared" si="28"/>
        <v>302742</v>
      </c>
      <c r="L83" s="65">
        <v>0</v>
      </c>
      <c r="M83" s="65"/>
      <c r="N83" s="65">
        <f t="shared" si="29"/>
        <v>0</v>
      </c>
      <c r="O83" s="132">
        <v>453823</v>
      </c>
      <c r="P83" s="66"/>
      <c r="Q83" s="66">
        <f t="shared" si="30"/>
        <v>453823</v>
      </c>
      <c r="R83" s="132">
        <v>1219338</v>
      </c>
      <c r="S83" s="65"/>
      <c r="T83" s="65">
        <f t="shared" si="31"/>
        <v>1219338</v>
      </c>
      <c r="U83" s="132">
        <v>84176</v>
      </c>
      <c r="V83" s="66"/>
      <c r="W83" s="66">
        <f t="shared" si="32"/>
        <v>84176</v>
      </c>
      <c r="X83" s="132">
        <v>122396</v>
      </c>
      <c r="Y83" s="65"/>
      <c r="Z83" s="65">
        <f t="shared" si="33"/>
        <v>122396</v>
      </c>
      <c r="AA83" s="132">
        <v>92124</v>
      </c>
      <c r="AB83" s="66"/>
      <c r="AC83" s="66">
        <f t="shared" si="34"/>
        <v>92124</v>
      </c>
      <c r="AD83" s="65">
        <v>30172</v>
      </c>
      <c r="AE83" s="65"/>
      <c r="AF83" s="65">
        <f t="shared" si="35"/>
        <v>30172</v>
      </c>
      <c r="AG83" s="66"/>
      <c r="AH83" s="66"/>
      <c r="AI83" s="66">
        <f t="shared" si="36"/>
        <v>0</v>
      </c>
      <c r="AJ83" s="65"/>
      <c r="AK83" s="65"/>
      <c r="AL83" s="65">
        <f t="shared" si="37"/>
        <v>0</v>
      </c>
      <c r="AM83" s="66"/>
      <c r="AN83" s="66"/>
      <c r="AO83" s="66">
        <f t="shared" ref="AO83" si="46">AM83+AN83</f>
        <v>0</v>
      </c>
    </row>
    <row r="84" spans="1:41" s="58" customFormat="1" ht="18.95" customHeight="1" x14ac:dyDescent="0.3">
      <c r="A84" s="4" t="s">
        <v>32</v>
      </c>
      <c r="B84" s="16"/>
      <c r="C84" s="17">
        <f>C83</f>
        <v>4523523</v>
      </c>
      <c r="D84" s="28"/>
      <c r="E84" s="3"/>
      <c r="F84" s="17">
        <f>F83</f>
        <v>2218752</v>
      </c>
      <c r="G84" s="17">
        <f t="shared" ref="G84:AO84" si="47">G83</f>
        <v>0</v>
      </c>
      <c r="H84" s="17">
        <f t="shared" si="47"/>
        <v>2218752</v>
      </c>
      <c r="I84" s="17">
        <f t="shared" si="47"/>
        <v>302742</v>
      </c>
      <c r="J84" s="17">
        <f t="shared" si="47"/>
        <v>0</v>
      </c>
      <c r="K84" s="17">
        <f t="shared" si="47"/>
        <v>302742</v>
      </c>
      <c r="L84" s="17">
        <f t="shared" si="47"/>
        <v>0</v>
      </c>
      <c r="M84" s="17">
        <f t="shared" si="47"/>
        <v>0</v>
      </c>
      <c r="N84" s="17">
        <f t="shared" si="47"/>
        <v>0</v>
      </c>
      <c r="O84" s="17">
        <f t="shared" si="47"/>
        <v>453823</v>
      </c>
      <c r="P84" s="17">
        <f t="shared" si="47"/>
        <v>0</v>
      </c>
      <c r="Q84" s="17">
        <f t="shared" si="47"/>
        <v>453823</v>
      </c>
      <c r="R84" s="17">
        <f t="shared" si="47"/>
        <v>1219338</v>
      </c>
      <c r="S84" s="17">
        <f t="shared" si="47"/>
        <v>0</v>
      </c>
      <c r="T84" s="17">
        <f t="shared" si="47"/>
        <v>1219338</v>
      </c>
      <c r="U84" s="17">
        <f t="shared" si="47"/>
        <v>84176</v>
      </c>
      <c r="V84" s="17">
        <f t="shared" si="47"/>
        <v>0</v>
      </c>
      <c r="W84" s="17">
        <f t="shared" si="47"/>
        <v>84176</v>
      </c>
      <c r="X84" s="17">
        <f t="shared" si="47"/>
        <v>122396</v>
      </c>
      <c r="Y84" s="17">
        <f t="shared" si="47"/>
        <v>0</v>
      </c>
      <c r="Z84" s="17">
        <f t="shared" si="47"/>
        <v>122396</v>
      </c>
      <c r="AA84" s="17">
        <f t="shared" si="47"/>
        <v>92124</v>
      </c>
      <c r="AB84" s="17">
        <f t="shared" si="47"/>
        <v>0</v>
      </c>
      <c r="AC84" s="17">
        <f t="shared" si="47"/>
        <v>92124</v>
      </c>
      <c r="AD84" s="17">
        <f t="shared" si="47"/>
        <v>30172</v>
      </c>
      <c r="AE84" s="17">
        <f t="shared" si="47"/>
        <v>0</v>
      </c>
      <c r="AF84" s="17">
        <f t="shared" si="47"/>
        <v>30172</v>
      </c>
      <c r="AG84" s="17">
        <f t="shared" si="47"/>
        <v>0</v>
      </c>
      <c r="AH84" s="17">
        <f t="shared" si="47"/>
        <v>0</v>
      </c>
      <c r="AI84" s="17">
        <f t="shared" si="47"/>
        <v>0</v>
      </c>
      <c r="AJ84" s="17">
        <f t="shared" si="47"/>
        <v>0</v>
      </c>
      <c r="AK84" s="17">
        <f t="shared" si="47"/>
        <v>0</v>
      </c>
      <c r="AL84" s="17">
        <f t="shared" si="47"/>
        <v>0</v>
      </c>
      <c r="AM84" s="17">
        <f t="shared" si="47"/>
        <v>0</v>
      </c>
      <c r="AN84" s="17">
        <f t="shared" si="47"/>
        <v>0</v>
      </c>
      <c r="AO84" s="17">
        <f t="shared" si="47"/>
        <v>0</v>
      </c>
    </row>
    <row r="85" spans="1:41" s="58" customFormat="1" ht="9.9499999999999993" customHeight="1" x14ac:dyDescent="0.3">
      <c r="A85" s="4"/>
      <c r="B85" s="16"/>
      <c r="C85" s="17"/>
      <c r="D85" s="28"/>
      <c r="E85" s="3"/>
      <c r="F85" s="65"/>
      <c r="G85" s="65"/>
      <c r="H85" s="65"/>
      <c r="I85" s="66"/>
      <c r="J85" s="66"/>
      <c r="K85" s="66"/>
      <c r="L85" s="65"/>
      <c r="M85" s="65"/>
      <c r="N85" s="65"/>
      <c r="O85" s="66"/>
      <c r="P85" s="66"/>
      <c r="Q85" s="66"/>
      <c r="R85" s="65"/>
      <c r="S85" s="65"/>
      <c r="T85" s="65"/>
      <c r="U85" s="66"/>
      <c r="V85" s="66"/>
      <c r="W85" s="66"/>
      <c r="X85" s="65"/>
      <c r="Y85" s="65"/>
      <c r="Z85" s="65"/>
      <c r="AA85" s="66"/>
      <c r="AB85" s="66"/>
      <c r="AC85" s="66"/>
      <c r="AD85" s="65"/>
      <c r="AE85" s="65"/>
      <c r="AF85" s="65"/>
      <c r="AG85" s="66"/>
      <c r="AH85" s="66"/>
      <c r="AI85" s="66"/>
      <c r="AJ85" s="65"/>
      <c r="AK85" s="65"/>
      <c r="AL85" s="65"/>
      <c r="AM85" s="66"/>
      <c r="AN85" s="66"/>
      <c r="AO85" s="66"/>
    </row>
    <row r="86" spans="1:41" s="58" customFormat="1" ht="17.25" x14ac:dyDescent="0.3">
      <c r="A86" s="4" t="s">
        <v>33</v>
      </c>
      <c r="B86" s="16"/>
      <c r="C86" s="28"/>
      <c r="D86" s="28"/>
      <c r="E86" s="3"/>
      <c r="F86" s="65"/>
      <c r="G86" s="65"/>
      <c r="H86" s="65">
        <f t="shared" si="27"/>
        <v>0</v>
      </c>
      <c r="I86" s="66"/>
      <c r="J86" s="66"/>
      <c r="K86" s="66">
        <f t="shared" si="28"/>
        <v>0</v>
      </c>
      <c r="L86" s="65"/>
      <c r="M86" s="65"/>
      <c r="N86" s="65">
        <f t="shared" si="29"/>
        <v>0</v>
      </c>
      <c r="O86" s="66"/>
      <c r="P86" s="66"/>
      <c r="Q86" s="66">
        <f t="shared" si="30"/>
        <v>0</v>
      </c>
      <c r="R86" s="65"/>
      <c r="S86" s="65"/>
      <c r="T86" s="65">
        <f t="shared" si="31"/>
        <v>0</v>
      </c>
      <c r="U86" s="66"/>
      <c r="V86" s="66"/>
      <c r="W86" s="66">
        <f t="shared" si="32"/>
        <v>0</v>
      </c>
      <c r="X86" s="65"/>
      <c r="Y86" s="65"/>
      <c r="Z86" s="65">
        <f t="shared" si="33"/>
        <v>0</v>
      </c>
      <c r="AA86" s="66"/>
      <c r="AB86" s="66"/>
      <c r="AC86" s="66">
        <f t="shared" si="34"/>
        <v>0</v>
      </c>
      <c r="AD86" s="65"/>
      <c r="AE86" s="65"/>
      <c r="AF86" s="65">
        <f t="shared" si="35"/>
        <v>0</v>
      </c>
      <c r="AG86" s="66"/>
      <c r="AH86" s="66"/>
      <c r="AI86" s="66">
        <f t="shared" si="36"/>
        <v>0</v>
      </c>
      <c r="AJ86" s="65"/>
      <c r="AK86" s="65"/>
      <c r="AL86" s="65">
        <f t="shared" si="37"/>
        <v>0</v>
      </c>
      <c r="AM86" s="66"/>
      <c r="AN86" s="66"/>
      <c r="AO86" s="66">
        <f t="shared" ref="AO86:AO88" si="48">AM86+AN86</f>
        <v>0</v>
      </c>
    </row>
    <row r="87" spans="1:41" s="58" customFormat="1" ht="17.25" x14ac:dyDescent="0.3">
      <c r="A87" s="70" t="s">
        <v>78</v>
      </c>
      <c r="B87" s="16"/>
      <c r="C87" s="21"/>
      <c r="D87" s="28"/>
      <c r="E87" s="3"/>
      <c r="F87" s="65"/>
      <c r="G87" s="65"/>
      <c r="H87" s="65">
        <f t="shared" si="27"/>
        <v>0</v>
      </c>
      <c r="I87" s="66"/>
      <c r="J87" s="66"/>
      <c r="K87" s="66">
        <f t="shared" si="28"/>
        <v>0</v>
      </c>
      <c r="L87" s="65"/>
      <c r="M87" s="65"/>
      <c r="N87" s="65">
        <f t="shared" si="29"/>
        <v>0</v>
      </c>
      <c r="O87" s="66"/>
      <c r="P87" s="66"/>
      <c r="Q87" s="66">
        <f t="shared" si="30"/>
        <v>0</v>
      </c>
      <c r="R87" s="65"/>
      <c r="S87" s="65"/>
      <c r="T87" s="65">
        <f t="shared" si="31"/>
        <v>0</v>
      </c>
      <c r="U87" s="66"/>
      <c r="V87" s="66"/>
      <c r="W87" s="66">
        <f t="shared" si="32"/>
        <v>0</v>
      </c>
      <c r="X87" s="65"/>
      <c r="Y87" s="65"/>
      <c r="Z87" s="65">
        <f t="shared" si="33"/>
        <v>0</v>
      </c>
      <c r="AA87" s="66"/>
      <c r="AB87" s="66"/>
      <c r="AC87" s="66">
        <f t="shared" si="34"/>
        <v>0</v>
      </c>
      <c r="AD87" s="65"/>
      <c r="AE87" s="65"/>
      <c r="AF87" s="65">
        <f t="shared" si="35"/>
        <v>0</v>
      </c>
      <c r="AG87" s="66"/>
      <c r="AH87" s="66"/>
      <c r="AI87" s="66">
        <f t="shared" si="36"/>
        <v>0</v>
      </c>
      <c r="AJ87" s="65"/>
      <c r="AK87" s="65"/>
      <c r="AL87" s="65">
        <f t="shared" si="37"/>
        <v>0</v>
      </c>
      <c r="AM87" s="66"/>
      <c r="AN87" s="66"/>
      <c r="AO87" s="66">
        <f t="shared" si="48"/>
        <v>0</v>
      </c>
    </row>
    <row r="88" spans="1:41" s="58" customFormat="1" ht="17.25" x14ac:dyDescent="0.3">
      <c r="A88" s="15" t="s">
        <v>34</v>
      </c>
      <c r="B88" s="16"/>
      <c r="C88" s="14">
        <f>H88+K88+N88+Q88+T88+W88+Z88+AC88+AF88+AI88+AL88+AO88</f>
        <v>0</v>
      </c>
      <c r="D88" s="28"/>
      <c r="E88" s="3"/>
      <c r="F88" s="132">
        <v>0</v>
      </c>
      <c r="G88" s="65"/>
      <c r="H88" s="65">
        <f t="shared" si="27"/>
        <v>0</v>
      </c>
      <c r="I88" s="132">
        <v>0</v>
      </c>
      <c r="J88" s="66"/>
      <c r="K88" s="66">
        <f t="shared" si="28"/>
        <v>0</v>
      </c>
      <c r="L88" s="65">
        <v>0</v>
      </c>
      <c r="M88" s="65"/>
      <c r="N88" s="65">
        <f t="shared" si="29"/>
        <v>0</v>
      </c>
      <c r="O88" s="132">
        <v>0</v>
      </c>
      <c r="P88" s="66"/>
      <c r="Q88" s="66">
        <f t="shared" si="30"/>
        <v>0</v>
      </c>
      <c r="R88" s="132">
        <v>0</v>
      </c>
      <c r="S88" s="65"/>
      <c r="T88" s="65">
        <f t="shared" si="31"/>
        <v>0</v>
      </c>
      <c r="U88" s="132">
        <v>0</v>
      </c>
      <c r="V88" s="66"/>
      <c r="W88" s="66">
        <f t="shared" si="32"/>
        <v>0</v>
      </c>
      <c r="X88" s="65"/>
      <c r="Y88" s="65"/>
      <c r="Z88" s="65">
        <f t="shared" si="33"/>
        <v>0</v>
      </c>
      <c r="AA88" s="66"/>
      <c r="AB88" s="66"/>
      <c r="AC88" s="66">
        <f t="shared" si="34"/>
        <v>0</v>
      </c>
      <c r="AD88" s="65"/>
      <c r="AE88" s="65"/>
      <c r="AF88" s="65">
        <f t="shared" si="35"/>
        <v>0</v>
      </c>
      <c r="AG88" s="66"/>
      <c r="AH88" s="66"/>
      <c r="AI88" s="66">
        <f t="shared" si="36"/>
        <v>0</v>
      </c>
      <c r="AJ88" s="65"/>
      <c r="AK88" s="65"/>
      <c r="AL88" s="65">
        <f t="shared" si="37"/>
        <v>0</v>
      </c>
      <c r="AM88" s="66"/>
      <c r="AN88" s="66"/>
      <c r="AO88" s="66">
        <f t="shared" si="48"/>
        <v>0</v>
      </c>
    </row>
    <row r="89" spans="1:41" s="58" customFormat="1" ht="17.25" x14ac:dyDescent="0.3">
      <c r="A89" s="71" t="s">
        <v>77</v>
      </c>
      <c r="B89" s="16"/>
      <c r="C89" s="17">
        <f>C88</f>
        <v>0</v>
      </c>
      <c r="D89" s="28"/>
      <c r="E89" s="3"/>
      <c r="F89" s="17">
        <f>F88</f>
        <v>0</v>
      </c>
      <c r="G89" s="17">
        <f t="shared" ref="G89:AO89" si="49">G88</f>
        <v>0</v>
      </c>
      <c r="H89" s="17">
        <f t="shared" si="49"/>
        <v>0</v>
      </c>
      <c r="I89" s="17">
        <f t="shared" si="49"/>
        <v>0</v>
      </c>
      <c r="J89" s="17">
        <f t="shared" si="49"/>
        <v>0</v>
      </c>
      <c r="K89" s="17">
        <f t="shared" si="49"/>
        <v>0</v>
      </c>
      <c r="L89" s="17">
        <f t="shared" si="49"/>
        <v>0</v>
      </c>
      <c r="M89" s="17">
        <f t="shared" si="49"/>
        <v>0</v>
      </c>
      <c r="N89" s="17">
        <f t="shared" si="49"/>
        <v>0</v>
      </c>
      <c r="O89" s="17">
        <f t="shared" si="49"/>
        <v>0</v>
      </c>
      <c r="P89" s="17">
        <f t="shared" si="49"/>
        <v>0</v>
      </c>
      <c r="Q89" s="17">
        <f t="shared" si="49"/>
        <v>0</v>
      </c>
      <c r="R89" s="17">
        <f t="shared" si="49"/>
        <v>0</v>
      </c>
      <c r="S89" s="17">
        <f t="shared" si="49"/>
        <v>0</v>
      </c>
      <c r="T89" s="17">
        <f t="shared" si="49"/>
        <v>0</v>
      </c>
      <c r="U89" s="17">
        <f t="shared" si="49"/>
        <v>0</v>
      </c>
      <c r="V89" s="17">
        <f t="shared" si="49"/>
        <v>0</v>
      </c>
      <c r="W89" s="17">
        <f t="shared" si="49"/>
        <v>0</v>
      </c>
      <c r="X89" s="17">
        <f t="shared" si="49"/>
        <v>0</v>
      </c>
      <c r="Y89" s="17">
        <f t="shared" si="49"/>
        <v>0</v>
      </c>
      <c r="Z89" s="17">
        <f t="shared" si="49"/>
        <v>0</v>
      </c>
      <c r="AA89" s="17">
        <f t="shared" si="49"/>
        <v>0</v>
      </c>
      <c r="AB89" s="17">
        <f t="shared" si="49"/>
        <v>0</v>
      </c>
      <c r="AC89" s="17">
        <f t="shared" si="49"/>
        <v>0</v>
      </c>
      <c r="AD89" s="17">
        <f t="shared" si="49"/>
        <v>0</v>
      </c>
      <c r="AE89" s="17">
        <f t="shared" si="49"/>
        <v>0</v>
      </c>
      <c r="AF89" s="17">
        <f t="shared" si="49"/>
        <v>0</v>
      </c>
      <c r="AG89" s="17">
        <f t="shared" si="49"/>
        <v>0</v>
      </c>
      <c r="AH89" s="17">
        <f t="shared" si="49"/>
        <v>0</v>
      </c>
      <c r="AI89" s="17">
        <f t="shared" si="49"/>
        <v>0</v>
      </c>
      <c r="AJ89" s="17">
        <f t="shared" si="49"/>
        <v>0</v>
      </c>
      <c r="AK89" s="17">
        <f t="shared" si="49"/>
        <v>0</v>
      </c>
      <c r="AL89" s="17">
        <f t="shared" si="49"/>
        <v>0</v>
      </c>
      <c r="AM89" s="17">
        <f t="shared" si="49"/>
        <v>0</v>
      </c>
      <c r="AN89" s="17">
        <f t="shared" si="49"/>
        <v>0</v>
      </c>
      <c r="AO89" s="17">
        <f t="shared" si="49"/>
        <v>0</v>
      </c>
    </row>
    <row r="90" spans="1:41" s="58" customFormat="1" ht="11.1" customHeight="1" x14ac:dyDescent="0.3">
      <c r="A90" s="15"/>
      <c r="B90" s="16"/>
      <c r="C90" s="24"/>
      <c r="D90" s="24"/>
      <c r="E90" s="3"/>
      <c r="F90" s="65"/>
      <c r="G90" s="65"/>
      <c r="H90" s="65"/>
      <c r="I90" s="66"/>
      <c r="J90" s="66"/>
      <c r="K90" s="66"/>
      <c r="L90" s="65"/>
      <c r="M90" s="65"/>
      <c r="N90" s="65"/>
      <c r="O90" s="66"/>
      <c r="P90" s="66"/>
      <c r="Q90" s="66"/>
      <c r="R90" s="65"/>
      <c r="S90" s="65"/>
      <c r="T90" s="65"/>
      <c r="U90" s="66"/>
      <c r="V90" s="66"/>
      <c r="W90" s="66"/>
      <c r="X90" s="65"/>
      <c r="Y90" s="65"/>
      <c r="Z90" s="65"/>
      <c r="AA90" s="66"/>
      <c r="AB90" s="66"/>
      <c r="AC90" s="66"/>
      <c r="AD90" s="65"/>
      <c r="AE90" s="65"/>
      <c r="AF90" s="65"/>
      <c r="AG90" s="66"/>
      <c r="AH90" s="66"/>
      <c r="AI90" s="66"/>
      <c r="AJ90" s="65"/>
      <c r="AK90" s="65"/>
      <c r="AL90" s="65"/>
      <c r="AM90" s="66"/>
      <c r="AN90" s="66"/>
      <c r="AO90" s="66"/>
    </row>
    <row r="91" spans="1:41" s="58" customFormat="1" ht="17.25" x14ac:dyDescent="0.3">
      <c r="A91" s="70" t="s">
        <v>79</v>
      </c>
      <c r="B91" s="16"/>
      <c r="C91" s="19"/>
      <c r="D91" s="24"/>
      <c r="E91" s="3"/>
      <c r="F91" s="65"/>
      <c r="G91" s="65"/>
      <c r="H91" s="65"/>
      <c r="I91" s="66"/>
      <c r="J91" s="66"/>
      <c r="K91" s="66"/>
      <c r="L91" s="65"/>
      <c r="M91" s="65"/>
      <c r="N91" s="65"/>
      <c r="O91" s="66"/>
      <c r="P91" s="66"/>
      <c r="Q91" s="66"/>
      <c r="R91" s="65"/>
      <c r="S91" s="65"/>
      <c r="T91" s="65"/>
      <c r="U91" s="66"/>
      <c r="V91" s="66"/>
      <c r="W91" s="66"/>
      <c r="X91" s="65"/>
      <c r="Y91" s="65"/>
      <c r="Z91" s="65"/>
      <c r="AA91" s="66"/>
      <c r="AB91" s="66"/>
      <c r="AC91" s="66"/>
      <c r="AD91" s="65"/>
      <c r="AE91" s="65"/>
      <c r="AF91" s="65"/>
      <c r="AG91" s="66"/>
      <c r="AH91" s="66"/>
      <c r="AI91" s="66"/>
      <c r="AJ91" s="65"/>
      <c r="AK91" s="65"/>
      <c r="AL91" s="65"/>
      <c r="AM91" s="66"/>
      <c r="AN91" s="66"/>
      <c r="AO91" s="66"/>
    </row>
    <row r="92" spans="1:41" s="58" customFormat="1" ht="17.25" x14ac:dyDescent="0.3">
      <c r="A92" s="68" t="s">
        <v>75</v>
      </c>
      <c r="B92" s="16"/>
      <c r="C92" s="14">
        <f>H92+K92+N92+Q92+T92+W92+Z92+AC92+AF92+AI92+AL92+AO92</f>
        <v>0</v>
      </c>
      <c r="D92" s="24"/>
      <c r="E92" s="3"/>
      <c r="F92" s="132">
        <v>0</v>
      </c>
      <c r="G92" s="65"/>
      <c r="H92" s="65">
        <f t="shared" si="27"/>
        <v>0</v>
      </c>
      <c r="I92" s="132"/>
      <c r="J92" s="66"/>
      <c r="K92" s="66">
        <f t="shared" si="28"/>
        <v>0</v>
      </c>
      <c r="L92" s="65">
        <v>0</v>
      </c>
      <c r="M92" s="65"/>
      <c r="N92" s="65">
        <f t="shared" si="29"/>
        <v>0</v>
      </c>
      <c r="O92" s="132">
        <v>0</v>
      </c>
      <c r="P92" s="66"/>
      <c r="Q92" s="66">
        <f t="shared" si="30"/>
        <v>0</v>
      </c>
      <c r="R92" s="132">
        <v>0</v>
      </c>
      <c r="S92" s="65"/>
      <c r="T92" s="65">
        <f t="shared" si="31"/>
        <v>0</v>
      </c>
      <c r="U92" s="132">
        <v>0</v>
      </c>
      <c r="V92" s="66"/>
      <c r="W92" s="66">
        <f t="shared" si="32"/>
        <v>0</v>
      </c>
      <c r="X92" s="65"/>
      <c r="Y92" s="65"/>
      <c r="Z92" s="65">
        <f t="shared" si="33"/>
        <v>0</v>
      </c>
      <c r="AA92" s="66"/>
      <c r="AB92" s="66"/>
      <c r="AC92" s="66">
        <f t="shared" si="34"/>
        <v>0</v>
      </c>
      <c r="AD92" s="65"/>
      <c r="AE92" s="65"/>
      <c r="AF92" s="65">
        <f t="shared" si="35"/>
        <v>0</v>
      </c>
      <c r="AG92" s="66"/>
      <c r="AH92" s="66"/>
      <c r="AI92" s="66">
        <f t="shared" si="36"/>
        <v>0</v>
      </c>
      <c r="AJ92" s="65"/>
      <c r="AK92" s="65"/>
      <c r="AL92" s="65">
        <f t="shared" si="37"/>
        <v>0</v>
      </c>
      <c r="AM92" s="66"/>
      <c r="AN92" s="66"/>
      <c r="AO92" s="66">
        <f t="shared" ref="AO92:AO95" si="50">AM92+AN92</f>
        <v>0</v>
      </c>
    </row>
    <row r="93" spans="1:41" s="58" customFormat="1" ht="17.25" x14ac:dyDescent="0.3">
      <c r="A93" s="15" t="s">
        <v>35</v>
      </c>
      <c r="B93" s="16"/>
      <c r="C93" s="14">
        <f>H93+K93+N93+Q93+T93+W93+Z93+AC93+AF93+AI93+AL93+AO93</f>
        <v>103250</v>
      </c>
      <c r="D93" s="24"/>
      <c r="E93" s="3"/>
      <c r="F93" s="132">
        <v>30660</v>
      </c>
      <c r="G93" s="65"/>
      <c r="H93" s="65">
        <f t="shared" si="27"/>
        <v>30660</v>
      </c>
      <c r="I93" s="132">
        <v>47776</v>
      </c>
      <c r="J93" s="66"/>
      <c r="K93" s="66">
        <f t="shared" si="28"/>
        <v>47776</v>
      </c>
      <c r="L93" s="65">
        <v>0</v>
      </c>
      <c r="M93" s="65"/>
      <c r="N93" s="65">
        <f t="shared" si="29"/>
        <v>0</v>
      </c>
      <c r="O93" s="132">
        <v>5976</v>
      </c>
      <c r="P93" s="66"/>
      <c r="Q93" s="66">
        <f t="shared" si="30"/>
        <v>5976</v>
      </c>
      <c r="R93" s="132">
        <v>15523</v>
      </c>
      <c r="S93" s="65"/>
      <c r="T93" s="65">
        <f t="shared" si="31"/>
        <v>15523</v>
      </c>
      <c r="U93" s="132">
        <v>0</v>
      </c>
      <c r="V93" s="66"/>
      <c r="W93" s="66">
        <f t="shared" si="32"/>
        <v>0</v>
      </c>
      <c r="X93" s="65">
        <v>0</v>
      </c>
      <c r="Y93" s="65"/>
      <c r="Z93" s="65">
        <f t="shared" si="33"/>
        <v>0</v>
      </c>
      <c r="AA93" s="66">
        <v>3315</v>
      </c>
      <c r="AB93" s="66"/>
      <c r="AC93" s="66">
        <f t="shared" si="34"/>
        <v>3315</v>
      </c>
      <c r="AD93" s="65"/>
      <c r="AE93" s="65"/>
      <c r="AF93" s="65">
        <f t="shared" si="35"/>
        <v>0</v>
      </c>
      <c r="AG93" s="66"/>
      <c r="AH93" s="66"/>
      <c r="AI93" s="66">
        <f t="shared" si="36"/>
        <v>0</v>
      </c>
      <c r="AJ93" s="65"/>
      <c r="AK93" s="65"/>
      <c r="AL93" s="65">
        <f t="shared" si="37"/>
        <v>0</v>
      </c>
      <c r="AM93" s="66"/>
      <c r="AN93" s="66"/>
      <c r="AO93" s="66">
        <f t="shared" si="50"/>
        <v>0</v>
      </c>
    </row>
    <row r="94" spans="1:41" s="58" customFormat="1" ht="17.25" x14ac:dyDescent="0.3">
      <c r="A94" s="68" t="s">
        <v>76</v>
      </c>
      <c r="B94" s="16"/>
      <c r="C94" s="14">
        <f>H94+K94+N94+Q94+T94+W94+Z94+AC94+AF94+AI94+AL94+AO94</f>
        <v>26246</v>
      </c>
      <c r="D94" s="24"/>
      <c r="E94" s="3"/>
      <c r="F94" s="132">
        <v>26246</v>
      </c>
      <c r="G94" s="65"/>
      <c r="H94" s="65">
        <f t="shared" si="27"/>
        <v>26246</v>
      </c>
      <c r="I94" s="132">
        <v>0</v>
      </c>
      <c r="J94" s="66"/>
      <c r="K94" s="66">
        <f t="shared" si="28"/>
        <v>0</v>
      </c>
      <c r="L94" s="65">
        <v>0</v>
      </c>
      <c r="M94" s="65"/>
      <c r="N94" s="65">
        <f t="shared" si="29"/>
        <v>0</v>
      </c>
      <c r="O94" s="132">
        <v>0</v>
      </c>
      <c r="P94" s="66"/>
      <c r="Q94" s="66">
        <f t="shared" si="30"/>
        <v>0</v>
      </c>
      <c r="R94" s="132">
        <v>0</v>
      </c>
      <c r="S94" s="65"/>
      <c r="T94" s="65">
        <f t="shared" si="31"/>
        <v>0</v>
      </c>
      <c r="U94" s="132">
        <v>0</v>
      </c>
      <c r="V94" s="66"/>
      <c r="W94" s="66">
        <f t="shared" si="32"/>
        <v>0</v>
      </c>
      <c r="X94" s="65"/>
      <c r="Y94" s="65"/>
      <c r="Z94" s="65">
        <f t="shared" si="33"/>
        <v>0</v>
      </c>
      <c r="AA94" s="66"/>
      <c r="AB94" s="66"/>
      <c r="AC94" s="66">
        <f t="shared" si="34"/>
        <v>0</v>
      </c>
      <c r="AD94" s="65"/>
      <c r="AE94" s="65"/>
      <c r="AF94" s="65">
        <f t="shared" si="35"/>
        <v>0</v>
      </c>
      <c r="AG94" s="66"/>
      <c r="AH94" s="66"/>
      <c r="AI94" s="66">
        <f t="shared" si="36"/>
        <v>0</v>
      </c>
      <c r="AJ94" s="65"/>
      <c r="AK94" s="65"/>
      <c r="AL94" s="65">
        <f t="shared" si="37"/>
        <v>0</v>
      </c>
      <c r="AM94" s="66"/>
      <c r="AN94" s="66"/>
      <c r="AO94" s="66">
        <f t="shared" si="50"/>
        <v>0</v>
      </c>
    </row>
    <row r="95" spans="1:41" s="58" customFormat="1" ht="18.95" customHeight="1" x14ac:dyDescent="0.3">
      <c r="A95" s="15" t="s">
        <v>36</v>
      </c>
      <c r="B95" s="16"/>
      <c r="C95" s="14">
        <f>H95+K95+N95+Q95+T95+W95+Z95+AC95+AF95+AI95+AL95+AO95</f>
        <v>228441</v>
      </c>
      <c r="D95" s="45"/>
      <c r="E95" s="3"/>
      <c r="F95" s="132">
        <v>82292</v>
      </c>
      <c r="G95" s="120">
        <v>-42873</v>
      </c>
      <c r="H95" s="65">
        <f t="shared" si="27"/>
        <v>39419</v>
      </c>
      <c r="I95" s="132">
        <v>143650</v>
      </c>
      <c r="J95" s="120"/>
      <c r="K95" s="66">
        <f t="shared" si="28"/>
        <v>143650</v>
      </c>
      <c r="L95" s="65">
        <v>0</v>
      </c>
      <c r="M95" s="65"/>
      <c r="N95" s="65">
        <f t="shared" si="29"/>
        <v>0</v>
      </c>
      <c r="O95" s="132">
        <v>21450</v>
      </c>
      <c r="P95" s="120">
        <v>0</v>
      </c>
      <c r="Q95" s="66">
        <f t="shared" si="30"/>
        <v>21450</v>
      </c>
      <c r="R95" s="132">
        <v>292312</v>
      </c>
      <c r="S95" s="120">
        <f>-192312-100000</f>
        <v>-292312</v>
      </c>
      <c r="T95" s="65">
        <f t="shared" si="31"/>
        <v>0</v>
      </c>
      <c r="U95" s="132">
        <v>20722</v>
      </c>
      <c r="V95" s="120">
        <v>0</v>
      </c>
      <c r="W95" s="66">
        <f t="shared" si="32"/>
        <v>20722</v>
      </c>
      <c r="X95" s="132">
        <v>0</v>
      </c>
      <c r="Y95" s="65"/>
      <c r="Z95" s="65">
        <f t="shared" si="33"/>
        <v>0</v>
      </c>
      <c r="AA95" s="66">
        <v>3200</v>
      </c>
      <c r="AB95" s="66"/>
      <c r="AC95" s="66">
        <f t="shared" si="34"/>
        <v>3200</v>
      </c>
      <c r="AD95" s="65"/>
      <c r="AE95" s="65"/>
      <c r="AF95" s="65">
        <f t="shared" si="35"/>
        <v>0</v>
      </c>
      <c r="AG95" s="66"/>
      <c r="AH95" s="66"/>
      <c r="AI95" s="66">
        <f t="shared" si="36"/>
        <v>0</v>
      </c>
      <c r="AJ95" s="65"/>
      <c r="AK95" s="97"/>
      <c r="AL95" s="65">
        <f t="shared" si="37"/>
        <v>0</v>
      </c>
      <c r="AM95" s="66"/>
      <c r="AN95" s="66"/>
      <c r="AO95" s="66">
        <f t="shared" si="50"/>
        <v>0</v>
      </c>
    </row>
    <row r="96" spans="1:41" s="58" customFormat="1" ht="18.95" customHeight="1" x14ac:dyDescent="0.3">
      <c r="A96" s="70" t="s">
        <v>80</v>
      </c>
      <c r="B96" s="16"/>
      <c r="C96" s="28">
        <f>SUM(C92:C95)</f>
        <v>357937</v>
      </c>
      <c r="D96" s="28"/>
      <c r="E96" s="3"/>
      <c r="F96" s="28">
        <f>SUM(F92:F95)</f>
        <v>139198</v>
      </c>
      <c r="G96" s="28">
        <f>SUM(G92:G95)</f>
        <v>-42873</v>
      </c>
      <c r="H96" s="28">
        <f>SUM(H92:H95)</f>
        <v>96325</v>
      </c>
      <c r="I96" s="28">
        <f t="shared" ref="I96:AO96" si="51">SUM(I92:I95)</f>
        <v>191426</v>
      </c>
      <c r="J96" s="28">
        <f t="shared" si="51"/>
        <v>0</v>
      </c>
      <c r="K96" s="28">
        <f t="shared" si="51"/>
        <v>191426</v>
      </c>
      <c r="L96" s="28">
        <f t="shared" si="51"/>
        <v>0</v>
      </c>
      <c r="M96" s="28">
        <f t="shared" si="51"/>
        <v>0</v>
      </c>
      <c r="N96" s="28">
        <f t="shared" si="51"/>
        <v>0</v>
      </c>
      <c r="O96" s="28">
        <f t="shared" si="51"/>
        <v>27426</v>
      </c>
      <c r="P96" s="28">
        <f t="shared" si="51"/>
        <v>0</v>
      </c>
      <c r="Q96" s="28">
        <f t="shared" si="51"/>
        <v>27426</v>
      </c>
      <c r="R96" s="28">
        <f t="shared" si="51"/>
        <v>307835</v>
      </c>
      <c r="S96" s="28">
        <f t="shared" si="51"/>
        <v>-292312</v>
      </c>
      <c r="T96" s="28">
        <f t="shared" si="51"/>
        <v>15523</v>
      </c>
      <c r="U96" s="28">
        <f t="shared" si="51"/>
        <v>20722</v>
      </c>
      <c r="V96" s="28">
        <f t="shared" si="51"/>
        <v>0</v>
      </c>
      <c r="W96" s="28">
        <f t="shared" si="51"/>
        <v>20722</v>
      </c>
      <c r="X96" s="28">
        <f t="shared" si="51"/>
        <v>0</v>
      </c>
      <c r="Y96" s="28">
        <f t="shared" si="51"/>
        <v>0</v>
      </c>
      <c r="Z96" s="28">
        <f t="shared" si="51"/>
        <v>0</v>
      </c>
      <c r="AA96" s="28">
        <f t="shared" si="51"/>
        <v>6515</v>
      </c>
      <c r="AB96" s="28">
        <f t="shared" si="51"/>
        <v>0</v>
      </c>
      <c r="AC96" s="28">
        <f t="shared" si="51"/>
        <v>6515</v>
      </c>
      <c r="AD96" s="28">
        <f t="shared" si="51"/>
        <v>0</v>
      </c>
      <c r="AE96" s="28">
        <f t="shared" si="51"/>
        <v>0</v>
      </c>
      <c r="AF96" s="28">
        <f t="shared" si="51"/>
        <v>0</v>
      </c>
      <c r="AG96" s="28">
        <f t="shared" si="51"/>
        <v>0</v>
      </c>
      <c r="AH96" s="28">
        <f t="shared" si="51"/>
        <v>0</v>
      </c>
      <c r="AI96" s="28">
        <f t="shared" si="51"/>
        <v>0</v>
      </c>
      <c r="AJ96" s="28">
        <f t="shared" si="51"/>
        <v>0</v>
      </c>
      <c r="AK96" s="28">
        <f t="shared" si="51"/>
        <v>0</v>
      </c>
      <c r="AL96" s="28">
        <f t="shared" si="51"/>
        <v>0</v>
      </c>
      <c r="AM96" s="28">
        <f t="shared" si="51"/>
        <v>0</v>
      </c>
      <c r="AN96" s="28">
        <f t="shared" si="51"/>
        <v>0</v>
      </c>
      <c r="AO96" s="28">
        <f t="shared" si="51"/>
        <v>0</v>
      </c>
    </row>
    <row r="97" spans="1:42" s="58" customFormat="1" ht="18.95" customHeight="1" x14ac:dyDescent="0.3">
      <c r="A97" s="70" t="s">
        <v>81</v>
      </c>
      <c r="B97" s="16"/>
      <c r="C97" s="72">
        <f>C89+C96</f>
        <v>357937</v>
      </c>
      <c r="D97" s="28"/>
      <c r="E97" s="3"/>
      <c r="F97" s="72">
        <f>F89+F96</f>
        <v>139198</v>
      </c>
      <c r="G97" s="72">
        <f t="shared" ref="G97:AO97" si="52">G89+G96</f>
        <v>-42873</v>
      </c>
      <c r="H97" s="72">
        <f t="shared" si="52"/>
        <v>96325</v>
      </c>
      <c r="I97" s="72">
        <f t="shared" si="52"/>
        <v>191426</v>
      </c>
      <c r="J97" s="72">
        <f t="shared" si="52"/>
        <v>0</v>
      </c>
      <c r="K97" s="72">
        <f t="shared" si="52"/>
        <v>191426</v>
      </c>
      <c r="L97" s="72">
        <f t="shared" si="52"/>
        <v>0</v>
      </c>
      <c r="M97" s="72">
        <f t="shared" si="52"/>
        <v>0</v>
      </c>
      <c r="N97" s="72">
        <f t="shared" si="52"/>
        <v>0</v>
      </c>
      <c r="O97" s="72">
        <f t="shared" si="52"/>
        <v>27426</v>
      </c>
      <c r="P97" s="72">
        <f t="shared" si="52"/>
        <v>0</v>
      </c>
      <c r="Q97" s="72">
        <f t="shared" si="52"/>
        <v>27426</v>
      </c>
      <c r="R97" s="72">
        <f t="shared" si="52"/>
        <v>307835</v>
      </c>
      <c r="S97" s="72">
        <f t="shared" si="52"/>
        <v>-292312</v>
      </c>
      <c r="T97" s="72">
        <f t="shared" si="52"/>
        <v>15523</v>
      </c>
      <c r="U97" s="72">
        <f t="shared" si="52"/>
        <v>20722</v>
      </c>
      <c r="V97" s="72">
        <f t="shared" si="52"/>
        <v>0</v>
      </c>
      <c r="W97" s="72">
        <f t="shared" si="52"/>
        <v>20722</v>
      </c>
      <c r="X97" s="72">
        <f t="shared" si="52"/>
        <v>0</v>
      </c>
      <c r="Y97" s="72">
        <f t="shared" si="52"/>
        <v>0</v>
      </c>
      <c r="Z97" s="72">
        <f t="shared" si="52"/>
        <v>0</v>
      </c>
      <c r="AA97" s="72">
        <f t="shared" si="52"/>
        <v>6515</v>
      </c>
      <c r="AB97" s="72">
        <f t="shared" si="52"/>
        <v>0</v>
      </c>
      <c r="AC97" s="72">
        <f t="shared" si="52"/>
        <v>6515</v>
      </c>
      <c r="AD97" s="72">
        <f t="shared" si="52"/>
        <v>0</v>
      </c>
      <c r="AE97" s="72">
        <f t="shared" si="52"/>
        <v>0</v>
      </c>
      <c r="AF97" s="72">
        <f t="shared" si="52"/>
        <v>0</v>
      </c>
      <c r="AG97" s="72">
        <f t="shared" si="52"/>
        <v>0</v>
      </c>
      <c r="AH97" s="72">
        <f t="shared" si="52"/>
        <v>0</v>
      </c>
      <c r="AI97" s="72">
        <f t="shared" si="52"/>
        <v>0</v>
      </c>
      <c r="AJ97" s="72">
        <f t="shared" si="52"/>
        <v>0</v>
      </c>
      <c r="AK97" s="72">
        <f t="shared" si="52"/>
        <v>0</v>
      </c>
      <c r="AL97" s="72">
        <f t="shared" si="52"/>
        <v>0</v>
      </c>
      <c r="AM97" s="72">
        <f t="shared" si="52"/>
        <v>0</v>
      </c>
      <c r="AN97" s="72">
        <f t="shared" si="52"/>
        <v>0</v>
      </c>
      <c r="AO97" s="72">
        <f t="shared" si="52"/>
        <v>0</v>
      </c>
      <c r="AP97" s="3"/>
    </row>
    <row r="98" spans="1:42" s="58" customFormat="1" ht="18.95" customHeight="1" x14ac:dyDescent="0.3">
      <c r="A98" s="4"/>
      <c r="B98" s="16"/>
      <c r="C98" s="28"/>
      <c r="D98" s="28"/>
      <c r="E98" s="3"/>
      <c r="F98" s="28"/>
      <c r="G98" s="65"/>
      <c r="H98" s="65"/>
      <c r="I98" s="66"/>
      <c r="J98" s="66"/>
      <c r="K98" s="66"/>
      <c r="L98" s="65"/>
      <c r="M98" s="65"/>
      <c r="N98" s="65"/>
      <c r="O98" s="66"/>
      <c r="P98" s="66"/>
      <c r="Q98" s="66"/>
      <c r="R98" s="65"/>
      <c r="S98" s="65"/>
      <c r="T98" s="65"/>
      <c r="U98" s="66"/>
      <c r="V98" s="66"/>
      <c r="W98" s="66"/>
      <c r="X98" s="65"/>
      <c r="Y98" s="65"/>
      <c r="Z98" s="65"/>
      <c r="AA98" s="66"/>
      <c r="AB98" s="66"/>
      <c r="AC98" s="66"/>
      <c r="AD98" s="65"/>
      <c r="AE98" s="65"/>
      <c r="AF98" s="65"/>
      <c r="AG98" s="66"/>
      <c r="AH98" s="66"/>
      <c r="AI98" s="66"/>
      <c r="AJ98" s="65"/>
      <c r="AK98" s="65"/>
      <c r="AL98" s="65"/>
      <c r="AM98" s="66"/>
      <c r="AN98" s="66"/>
      <c r="AO98" s="66"/>
      <c r="AP98" s="3"/>
    </row>
    <row r="99" spans="1:42" s="58" customFormat="1" ht="18.95" customHeight="1" thickBot="1" x14ac:dyDescent="0.35">
      <c r="A99" s="4" t="s">
        <v>37</v>
      </c>
      <c r="B99" s="16"/>
      <c r="C99" s="17">
        <f>C84+C97</f>
        <v>4881460</v>
      </c>
      <c r="D99" s="28"/>
      <c r="E99" s="3"/>
      <c r="F99" s="17">
        <f>F84+F97</f>
        <v>2357950</v>
      </c>
      <c r="G99" s="17">
        <f t="shared" ref="G99:AO99" si="53">G84+G97</f>
        <v>-42873</v>
      </c>
      <c r="H99" s="17">
        <f t="shared" si="53"/>
        <v>2315077</v>
      </c>
      <c r="I99" s="17">
        <f t="shared" si="53"/>
        <v>494168</v>
      </c>
      <c r="J99" s="17">
        <f t="shared" si="53"/>
        <v>0</v>
      </c>
      <c r="K99" s="17">
        <f t="shared" si="53"/>
        <v>494168</v>
      </c>
      <c r="L99" s="17">
        <f t="shared" si="53"/>
        <v>0</v>
      </c>
      <c r="M99" s="17">
        <f t="shared" si="53"/>
        <v>0</v>
      </c>
      <c r="N99" s="17">
        <f t="shared" si="53"/>
        <v>0</v>
      </c>
      <c r="O99" s="17">
        <f t="shared" si="53"/>
        <v>481249</v>
      </c>
      <c r="P99" s="17">
        <f t="shared" si="53"/>
        <v>0</v>
      </c>
      <c r="Q99" s="17">
        <f t="shared" si="53"/>
        <v>481249</v>
      </c>
      <c r="R99" s="17">
        <f t="shared" si="53"/>
        <v>1527173</v>
      </c>
      <c r="S99" s="17">
        <f t="shared" si="53"/>
        <v>-292312</v>
      </c>
      <c r="T99" s="17">
        <f t="shared" si="53"/>
        <v>1234861</v>
      </c>
      <c r="U99" s="17">
        <f t="shared" si="53"/>
        <v>104898</v>
      </c>
      <c r="V99" s="17">
        <f t="shared" si="53"/>
        <v>0</v>
      </c>
      <c r="W99" s="17">
        <f t="shared" si="53"/>
        <v>104898</v>
      </c>
      <c r="X99" s="17">
        <f t="shared" si="53"/>
        <v>122396</v>
      </c>
      <c r="Y99" s="17">
        <f t="shared" si="53"/>
        <v>0</v>
      </c>
      <c r="Z99" s="17">
        <f t="shared" si="53"/>
        <v>122396</v>
      </c>
      <c r="AA99" s="17">
        <f t="shared" si="53"/>
        <v>98639</v>
      </c>
      <c r="AB99" s="17">
        <f t="shared" si="53"/>
        <v>0</v>
      </c>
      <c r="AC99" s="17">
        <f t="shared" si="53"/>
        <v>98639</v>
      </c>
      <c r="AD99" s="17">
        <f t="shared" si="53"/>
        <v>30172</v>
      </c>
      <c r="AE99" s="17">
        <f t="shared" si="53"/>
        <v>0</v>
      </c>
      <c r="AF99" s="17">
        <f t="shared" si="53"/>
        <v>30172</v>
      </c>
      <c r="AG99" s="17">
        <f t="shared" si="53"/>
        <v>0</v>
      </c>
      <c r="AH99" s="17">
        <f t="shared" si="53"/>
        <v>0</v>
      </c>
      <c r="AI99" s="17">
        <f t="shared" si="53"/>
        <v>0</v>
      </c>
      <c r="AJ99" s="17">
        <f t="shared" si="53"/>
        <v>0</v>
      </c>
      <c r="AK99" s="17">
        <f t="shared" si="53"/>
        <v>0</v>
      </c>
      <c r="AL99" s="17">
        <f t="shared" si="53"/>
        <v>0</v>
      </c>
      <c r="AM99" s="17">
        <f t="shared" si="53"/>
        <v>0</v>
      </c>
      <c r="AN99" s="17">
        <f t="shared" si="53"/>
        <v>0</v>
      </c>
      <c r="AO99" s="17">
        <f t="shared" si="53"/>
        <v>0</v>
      </c>
      <c r="AP99" s="3"/>
    </row>
    <row r="100" spans="1:42" s="58" customFormat="1" ht="15.75" thickTop="1" x14ac:dyDescent="0.2">
      <c r="A100" s="3"/>
      <c r="B100" s="3"/>
      <c r="C100" s="73">
        <f>C74-C99</f>
        <v>0</v>
      </c>
      <c r="D100" s="50"/>
      <c r="E100" s="3"/>
      <c r="F100" s="73">
        <f>F74-F99</f>
        <v>0</v>
      </c>
      <c r="G100" s="73">
        <f t="shared" ref="G100:AO100" si="54">G74-G99</f>
        <v>-57127</v>
      </c>
      <c r="H100" s="73">
        <f t="shared" si="54"/>
        <v>-57127</v>
      </c>
      <c r="I100" s="73">
        <f t="shared" si="54"/>
        <v>0</v>
      </c>
      <c r="J100" s="73">
        <f t="shared" si="54"/>
        <v>-42873</v>
      </c>
      <c r="K100" s="73">
        <f t="shared" si="54"/>
        <v>-42873</v>
      </c>
      <c r="L100" s="73">
        <f t="shared" si="54"/>
        <v>0</v>
      </c>
      <c r="M100" s="73">
        <f t="shared" si="54"/>
        <v>0</v>
      </c>
      <c r="N100" s="73">
        <f t="shared" si="54"/>
        <v>0</v>
      </c>
      <c r="O100" s="73">
        <f t="shared" si="54"/>
        <v>0</v>
      </c>
      <c r="P100" s="73">
        <f t="shared" si="54"/>
        <v>-192312</v>
      </c>
      <c r="Q100" s="73">
        <f t="shared" si="54"/>
        <v>-192312</v>
      </c>
      <c r="R100" s="73">
        <f t="shared" si="54"/>
        <v>0</v>
      </c>
      <c r="S100" s="73">
        <f t="shared" si="54"/>
        <v>292312</v>
      </c>
      <c r="T100" s="73">
        <f t="shared" si="54"/>
        <v>292312</v>
      </c>
      <c r="U100" s="73">
        <f t="shared" si="54"/>
        <v>0</v>
      </c>
      <c r="V100" s="73">
        <f t="shared" si="54"/>
        <v>0</v>
      </c>
      <c r="W100" s="73">
        <f t="shared" si="54"/>
        <v>0</v>
      </c>
      <c r="X100" s="73">
        <f t="shared" si="54"/>
        <v>0</v>
      </c>
      <c r="Y100" s="73">
        <f t="shared" si="54"/>
        <v>0</v>
      </c>
      <c r="Z100" s="73">
        <f t="shared" si="54"/>
        <v>0</v>
      </c>
      <c r="AA100" s="73">
        <f t="shared" si="54"/>
        <v>0</v>
      </c>
      <c r="AB100" s="73">
        <f t="shared" si="54"/>
        <v>0</v>
      </c>
      <c r="AC100" s="73">
        <f t="shared" si="54"/>
        <v>0</v>
      </c>
      <c r="AD100" s="73">
        <f t="shared" si="54"/>
        <v>0</v>
      </c>
      <c r="AE100" s="73">
        <f t="shared" si="54"/>
        <v>0</v>
      </c>
      <c r="AF100" s="73">
        <f t="shared" si="54"/>
        <v>0</v>
      </c>
      <c r="AG100" s="73">
        <f t="shared" si="54"/>
        <v>0</v>
      </c>
      <c r="AH100" s="73">
        <f t="shared" si="54"/>
        <v>0</v>
      </c>
      <c r="AI100" s="73">
        <f t="shared" si="54"/>
        <v>0</v>
      </c>
      <c r="AJ100" s="73">
        <f t="shared" si="54"/>
        <v>0</v>
      </c>
      <c r="AK100" s="73">
        <f t="shared" si="54"/>
        <v>0</v>
      </c>
      <c r="AL100" s="73">
        <f t="shared" si="54"/>
        <v>0</v>
      </c>
      <c r="AM100" s="73">
        <f t="shared" si="54"/>
        <v>0</v>
      </c>
      <c r="AN100" s="73">
        <f t="shared" si="54"/>
        <v>0</v>
      </c>
      <c r="AO100" s="73">
        <f t="shared" si="54"/>
        <v>0</v>
      </c>
      <c r="AP100" s="51"/>
    </row>
    <row r="101" spans="1:42" s="58" customFormat="1" x14ac:dyDescent="0.2">
      <c r="A101" s="3"/>
      <c r="B101" s="3"/>
      <c r="C101" s="50"/>
      <c r="D101" s="50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 t="s">
        <v>163</v>
      </c>
      <c r="AO101" s="51">
        <f>SUM(F100:AO100)</f>
        <v>0</v>
      </c>
      <c r="AP101" s="3"/>
    </row>
    <row r="102" spans="1:42" s="58" customFormat="1" x14ac:dyDescent="0.2">
      <c r="A102" s="3"/>
      <c r="B102" s="3"/>
      <c r="C102" s="51"/>
      <c r="D102" s="52"/>
      <c r="E102" s="3"/>
      <c r="F102" s="3"/>
      <c r="G102" s="51">
        <f>SUM(G100)</f>
        <v>-57127</v>
      </c>
      <c r="H102" s="51"/>
      <c r="I102" s="51"/>
      <c r="J102" s="51">
        <f t="shared" ref="J102:AB102" si="55">SUM(J100)</f>
        <v>-42873</v>
      </c>
      <c r="K102" s="51"/>
      <c r="L102" s="51"/>
      <c r="M102" s="51">
        <f t="shared" si="55"/>
        <v>0</v>
      </c>
      <c r="N102" s="51"/>
      <c r="O102" s="51"/>
      <c r="P102" s="51">
        <f t="shared" si="55"/>
        <v>-192312</v>
      </c>
      <c r="Q102" s="51"/>
      <c r="R102" s="51"/>
      <c r="S102" s="51">
        <f t="shared" si="55"/>
        <v>292312</v>
      </c>
      <c r="T102" s="51"/>
      <c r="U102" s="51"/>
      <c r="V102" s="51">
        <f t="shared" si="55"/>
        <v>0</v>
      </c>
      <c r="W102" s="51"/>
      <c r="X102" s="51"/>
      <c r="Y102" s="51">
        <f t="shared" si="55"/>
        <v>0</v>
      </c>
      <c r="Z102" s="51"/>
      <c r="AA102" s="51"/>
      <c r="AB102" s="51">
        <f t="shared" si="55"/>
        <v>0</v>
      </c>
      <c r="AC102" s="51"/>
      <c r="AD102" s="3"/>
      <c r="AE102" s="51">
        <f t="shared" ref="AE102" si="56">SUM(AE100)</f>
        <v>0</v>
      </c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2" s="58" customFormat="1" x14ac:dyDescent="0.2">
      <c r="A103" s="15" t="s">
        <v>165</v>
      </c>
      <c r="B103" s="156"/>
      <c r="C103" s="156"/>
      <c r="D103" s="56"/>
      <c r="E103" s="51"/>
      <c r="F103" s="51">
        <f>SUM(G102:AE102)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 s="58" customFormat="1" x14ac:dyDescent="0.2">
      <c r="A104" s="15" t="s">
        <v>166</v>
      </c>
      <c r="B104" s="3"/>
      <c r="C104" s="15"/>
      <c r="D104" s="12"/>
      <c r="E104" s="3"/>
      <c r="F104" s="3"/>
      <c r="G104" s="3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 s="58" customFormat="1" x14ac:dyDescent="0.2">
      <c r="A105" s="15"/>
      <c r="B105" s="3"/>
      <c r="C105" s="15"/>
      <c r="D105" s="12"/>
      <c r="E105" s="3"/>
      <c r="F105" s="51"/>
      <c r="G105" s="3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1:42" s="58" customFormat="1" x14ac:dyDescent="0.2">
      <c r="A106" s="15"/>
      <c r="B106" s="3"/>
      <c r="C106" s="15"/>
      <c r="D106" s="1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2" s="58" customFormat="1" x14ac:dyDescent="0.2">
      <c r="A107" s="15"/>
      <c r="B107" s="3"/>
      <c r="C107" s="15"/>
      <c r="D107" s="1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1:42" s="58" customFormat="1" ht="15.75" x14ac:dyDescent="0.25">
      <c r="A108" s="71" t="s">
        <v>130</v>
      </c>
      <c r="B108" s="3"/>
      <c r="C108" s="15"/>
      <c r="D108" s="1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1:42" s="58" customFormat="1" x14ac:dyDescent="0.2">
      <c r="A109" s="15" t="s">
        <v>131</v>
      </c>
      <c r="B109" s="156"/>
      <c r="C109" s="102">
        <f>F109+I109+L109+O109+R109+U109+X109+AA109+AD109+AG109+AJ109+AM109</f>
        <v>303972.53000000003</v>
      </c>
      <c r="D109" s="56"/>
      <c r="E109" s="3"/>
      <c r="F109" s="3">
        <f>303972.53</f>
        <v>303972.53000000003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1:42" s="58" customFormat="1" x14ac:dyDescent="0.2">
      <c r="A110" s="15" t="s">
        <v>132</v>
      </c>
      <c r="B110" s="156"/>
      <c r="C110" s="102">
        <f>F110+I110+L110+O110+R110+U110+X110+AA110+AD110+AG110+AJ110+AM110</f>
        <v>0</v>
      </c>
      <c r="D110" s="56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1:42" s="58" customFormat="1" x14ac:dyDescent="0.2">
      <c r="A111" s="15" t="s">
        <v>133</v>
      </c>
      <c r="B111" s="156"/>
      <c r="C111" s="102">
        <f t="shared" ref="C111:C123" si="57">F111+I111+L111+O111+R111+U111+X111+AA111+AD111+AG111+AJ111+AM111</f>
        <v>17010</v>
      </c>
      <c r="D111" s="56"/>
      <c r="E111" s="3"/>
      <c r="F111" s="3">
        <v>17010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1:42" s="58" customFormat="1" x14ac:dyDescent="0.2">
      <c r="A112" s="15" t="s">
        <v>134</v>
      </c>
      <c r="B112" s="156"/>
      <c r="C112" s="102">
        <f t="shared" si="57"/>
        <v>37465</v>
      </c>
      <c r="D112" s="56"/>
      <c r="E112" s="3"/>
      <c r="F112" s="3">
        <f>4140+33325</f>
        <v>37465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1:27" s="58" customFormat="1" x14ac:dyDescent="0.2">
      <c r="A113" s="15" t="s">
        <v>146</v>
      </c>
      <c r="B113" s="156"/>
      <c r="C113" s="102">
        <f t="shared" si="57"/>
        <v>0</v>
      </c>
      <c r="D113" s="56"/>
    </row>
    <row r="114" spans="1:27" s="58" customFormat="1" x14ac:dyDescent="0.2">
      <c r="A114" s="15" t="s">
        <v>180</v>
      </c>
      <c r="B114" s="156"/>
      <c r="C114" s="102">
        <f t="shared" si="57"/>
        <v>0</v>
      </c>
      <c r="D114" s="56"/>
      <c r="F114" s="58">
        <v>0</v>
      </c>
    </row>
    <row r="115" spans="1:27" s="58" customFormat="1" x14ac:dyDescent="0.2">
      <c r="A115" s="15" t="s">
        <v>135</v>
      </c>
      <c r="B115" s="156"/>
      <c r="C115" s="102">
        <f t="shared" si="57"/>
        <v>72818</v>
      </c>
      <c r="D115" s="56"/>
      <c r="I115" s="58">
        <v>30552</v>
      </c>
      <c r="O115" s="58">
        <v>26920</v>
      </c>
      <c r="R115" s="58">
        <v>15346</v>
      </c>
    </row>
    <row r="116" spans="1:27" s="58" customFormat="1" x14ac:dyDescent="0.2">
      <c r="A116" s="15" t="s">
        <v>136</v>
      </c>
      <c r="B116" s="156"/>
      <c r="C116" s="102">
        <f t="shared" si="57"/>
        <v>86229</v>
      </c>
      <c r="D116" s="56"/>
      <c r="I116" s="58">
        <v>20000</v>
      </c>
      <c r="O116" s="58">
        <v>33100</v>
      </c>
      <c r="U116" s="58">
        <v>19129</v>
      </c>
      <c r="X116" s="58">
        <v>0</v>
      </c>
      <c r="AA116" s="58">
        <v>14000</v>
      </c>
    </row>
    <row r="117" spans="1:27" s="58" customFormat="1" x14ac:dyDescent="0.2">
      <c r="A117" s="15" t="s">
        <v>143</v>
      </c>
      <c r="B117" s="156"/>
      <c r="C117" s="102">
        <f t="shared" si="57"/>
        <v>37048.050000000003</v>
      </c>
      <c r="D117" s="56"/>
      <c r="F117" s="155">
        <v>37048.050000000003</v>
      </c>
    </row>
    <row r="118" spans="1:27" s="58" customFormat="1" x14ac:dyDescent="0.2">
      <c r="A118" s="15" t="s">
        <v>140</v>
      </c>
      <c r="B118" s="156"/>
      <c r="C118" s="102">
        <f t="shared" si="57"/>
        <v>26850.530000000002</v>
      </c>
      <c r="D118" s="56"/>
      <c r="F118" s="155">
        <f>24479.49+2371.04</f>
        <v>26850.530000000002</v>
      </c>
    </row>
    <row r="119" spans="1:27" s="58" customFormat="1" x14ac:dyDescent="0.2">
      <c r="A119" s="15" t="s">
        <v>137</v>
      </c>
      <c r="B119" s="156"/>
      <c r="C119" s="102">
        <f t="shared" si="57"/>
        <v>11972</v>
      </c>
      <c r="D119" s="56"/>
      <c r="O119" s="58">
        <v>11972</v>
      </c>
    </row>
    <row r="120" spans="1:27" s="58" customFormat="1" x14ac:dyDescent="0.2">
      <c r="A120" s="15" t="s">
        <v>138</v>
      </c>
      <c r="B120" s="156"/>
      <c r="C120" s="102">
        <f t="shared" si="57"/>
        <v>90124</v>
      </c>
      <c r="D120" s="56"/>
      <c r="O120" s="58">
        <v>90124</v>
      </c>
    </row>
    <row r="121" spans="1:27" s="58" customFormat="1" x14ac:dyDescent="0.2">
      <c r="A121" s="15" t="s">
        <v>144</v>
      </c>
      <c r="B121" s="156"/>
      <c r="C121" s="102">
        <f t="shared" si="57"/>
        <v>0</v>
      </c>
      <c r="D121" s="56"/>
    </row>
    <row r="122" spans="1:27" s="58" customFormat="1" x14ac:dyDescent="0.2">
      <c r="A122" s="15" t="s">
        <v>139</v>
      </c>
      <c r="B122" s="2"/>
      <c r="C122" s="102">
        <f t="shared" si="57"/>
        <v>49500</v>
      </c>
      <c r="D122" s="57"/>
      <c r="R122" s="58">
        <v>49500</v>
      </c>
    </row>
    <row r="123" spans="1:27" s="58" customFormat="1" x14ac:dyDescent="0.2">
      <c r="A123" s="15" t="s">
        <v>141</v>
      </c>
      <c r="B123" s="2"/>
      <c r="C123" s="102">
        <f t="shared" si="57"/>
        <v>33308.15</v>
      </c>
      <c r="D123" s="57"/>
      <c r="F123" s="155">
        <f>24044+2307.15</f>
        <v>26351.15</v>
      </c>
      <c r="I123" s="58">
        <v>5700</v>
      </c>
      <c r="O123" s="58">
        <v>0</v>
      </c>
      <c r="AA123" s="58">
        <v>1257</v>
      </c>
    </row>
    <row r="124" spans="1:27" s="58" customFormat="1" x14ac:dyDescent="0.2">
      <c r="A124" s="3"/>
      <c r="B124" s="2"/>
      <c r="C124" s="103"/>
      <c r="D124" s="57"/>
    </row>
    <row r="125" spans="1:27" s="58" customFormat="1" x14ac:dyDescent="0.2">
      <c r="A125" s="3" t="s">
        <v>142</v>
      </c>
      <c r="B125" s="2"/>
      <c r="C125" s="103">
        <f>SUM(C109:C124)</f>
        <v>766297.26000000013</v>
      </c>
      <c r="D125" s="57"/>
      <c r="F125" s="103">
        <f>SUM(F109:F124)</f>
        <v>448697.26000000007</v>
      </c>
      <c r="I125" s="103"/>
      <c r="O125" s="103"/>
      <c r="R125" s="103"/>
    </row>
    <row r="126" spans="1:27" s="58" customFormat="1" x14ac:dyDescent="0.2">
      <c r="A126" s="3"/>
      <c r="B126" s="2"/>
      <c r="C126" s="2"/>
      <c r="D126" s="57"/>
    </row>
    <row r="127" spans="1:27" s="58" customFormat="1" x14ac:dyDescent="0.2">
      <c r="A127" s="3"/>
      <c r="B127" s="2"/>
      <c r="C127" s="2"/>
      <c r="D127" s="57"/>
    </row>
    <row r="128" spans="1:27" s="58" customFormat="1" x14ac:dyDescent="0.2">
      <c r="A128" s="3"/>
      <c r="B128" s="2"/>
      <c r="C128" s="2"/>
      <c r="D128" s="57"/>
    </row>
    <row r="129" spans="1:27" s="58" customFormat="1" x14ac:dyDescent="0.2">
      <c r="A129" s="3" t="s">
        <v>155</v>
      </c>
      <c r="B129" s="2"/>
      <c r="C129" s="102">
        <f>F129+I129+L129+O129+R129+U129+X129+AA129+AD129+AG129+AJ129+AM129</f>
        <v>0</v>
      </c>
      <c r="D129" s="57"/>
    </row>
    <row r="130" spans="1:27" s="58" customFormat="1" x14ac:dyDescent="0.2">
      <c r="A130" s="3"/>
      <c r="B130" s="2"/>
      <c r="C130" s="2"/>
      <c r="D130" s="57"/>
      <c r="F130" s="127">
        <f>F125-F27</f>
        <v>0.26000000006752089</v>
      </c>
      <c r="I130" s="127">
        <f>I27-I109-I110-I111-I112-I113-I114-I115-I116-I117-I118-I119-I120-I121-I122-I123-I124-I125-I126-I127</f>
        <v>0</v>
      </c>
      <c r="L130" s="127">
        <f>L27-L109-L110-L111-L112-L113-L114-L115-L116-L117-L118-L119-L120-L121-L122-L123-L124-L125-L126-L127</f>
        <v>0</v>
      </c>
      <c r="O130" s="127">
        <f>O27-O109-O110-O111-O112-O113-O114-O115-O116-O117-O118-O119-O120-O121-O122-O123-O124-O125-O126-O127</f>
        <v>0</v>
      </c>
      <c r="R130" s="127">
        <f>R27-R109-R110-R111-R112-R113-R114-R115-R116-R117-R118-R119-R120-R121-R122-R123-R124-R125-R126-R127</f>
        <v>0</v>
      </c>
      <c r="U130" s="127">
        <f>U27-U109-U110-U111-U112-U113-U114-U115-U116-U117-U118-U119-U120-U121-U122-U123-U124-U125-U126-U127</f>
        <v>0</v>
      </c>
      <c r="X130" s="127">
        <f>X27-X109-X110-X111-X112-X113-X114-X115-X116-X117-X118-X119-X120-X121-X122-X123-X124-X125-X126-X127</f>
        <v>0</v>
      </c>
      <c r="AA130" s="127">
        <f>AA27-AA109-AA110-AA111-AA112-AA113-AA114-AA115-AA116-AA117-AA118-AA119-AA120-AA121-AA122-AA123-AA124-AA125-AA126-AA127</f>
        <v>0</v>
      </c>
    </row>
    <row r="131" spans="1:27" s="58" customFormat="1" x14ac:dyDescent="0.2">
      <c r="A131" s="3"/>
      <c r="B131" s="2"/>
      <c r="C131" s="2"/>
      <c r="D131" s="57"/>
      <c r="F131" s="149"/>
    </row>
    <row r="132" spans="1:27" s="58" customFormat="1" x14ac:dyDescent="0.2">
      <c r="A132" s="3"/>
      <c r="B132" s="2"/>
      <c r="C132" s="2"/>
      <c r="D132" s="57"/>
    </row>
    <row r="133" spans="1:27" s="58" customFormat="1" x14ac:dyDescent="0.2">
      <c r="A133" s="3"/>
      <c r="B133" s="2"/>
      <c r="C133" s="2"/>
      <c r="D133" s="57"/>
    </row>
    <row r="134" spans="1:27" s="58" customFormat="1" x14ac:dyDescent="0.2">
      <c r="A134" s="3"/>
      <c r="B134" s="2"/>
      <c r="C134" s="2"/>
      <c r="D134" s="57"/>
    </row>
    <row r="135" spans="1:27" s="58" customFormat="1" x14ac:dyDescent="0.2">
      <c r="A135" s="3"/>
      <c r="B135" s="2"/>
      <c r="C135" s="2"/>
      <c r="D135" s="57"/>
    </row>
    <row r="136" spans="1:27" s="58" customFormat="1" x14ac:dyDescent="0.2">
      <c r="A136" s="3"/>
      <c r="B136" s="2"/>
      <c r="C136" s="2"/>
      <c r="D136" s="57"/>
    </row>
    <row r="137" spans="1:27" s="58" customFormat="1" x14ac:dyDescent="0.2">
      <c r="A137" s="3"/>
      <c r="B137" s="2"/>
      <c r="C137" s="2"/>
      <c r="D137" s="2"/>
    </row>
    <row r="138" spans="1:27" s="58" customFormat="1" x14ac:dyDescent="0.2">
      <c r="A138" s="3"/>
      <c r="B138" s="2"/>
      <c r="C138" s="2"/>
      <c r="D138" s="2"/>
    </row>
    <row r="139" spans="1:27" s="58" customFormat="1" x14ac:dyDescent="0.2">
      <c r="A139" s="3"/>
      <c r="B139" s="2"/>
      <c r="C139" s="2"/>
      <c r="D139" s="2"/>
    </row>
    <row r="140" spans="1:27" s="58" customFormat="1" x14ac:dyDescent="0.2">
      <c r="A140" s="3"/>
      <c r="B140" s="2"/>
      <c r="C140" s="2"/>
      <c r="D140" s="2"/>
    </row>
    <row r="141" spans="1:27" s="58" customFormat="1" x14ac:dyDescent="0.2">
      <c r="A141" s="3"/>
      <c r="B141" s="2"/>
      <c r="C141" s="2"/>
      <c r="D141" s="2"/>
    </row>
    <row r="142" spans="1:27" s="58" customFormat="1" x14ac:dyDescent="0.2">
      <c r="A142" s="3"/>
      <c r="B142" s="2"/>
      <c r="C142" s="2"/>
      <c r="D142" s="2"/>
    </row>
    <row r="143" spans="1:27" s="58" customFormat="1" x14ac:dyDescent="0.2">
      <c r="A143" s="3"/>
      <c r="B143" s="2"/>
      <c r="C143" s="2"/>
      <c r="D143" s="2"/>
    </row>
    <row r="144" spans="1:27" s="58" customFormat="1" x14ac:dyDescent="0.2">
      <c r="A144" s="3"/>
      <c r="B144" s="2"/>
      <c r="C144" s="2"/>
      <c r="D144" s="2"/>
    </row>
    <row r="145" spans="2:4" s="58" customFormat="1" x14ac:dyDescent="0.2">
      <c r="B145" s="2"/>
      <c r="C145" s="2"/>
      <c r="D145" s="2"/>
    </row>
    <row r="146" spans="2:4" s="58" customFormat="1" x14ac:dyDescent="0.2">
      <c r="B146" s="2"/>
      <c r="C146" s="2"/>
      <c r="D146" s="2"/>
    </row>
    <row r="147" spans="2:4" s="58" customFormat="1" x14ac:dyDescent="0.2">
      <c r="B147" s="2"/>
      <c r="C147" s="2"/>
      <c r="D147" s="2"/>
    </row>
    <row r="148" spans="2:4" s="58" customFormat="1" x14ac:dyDescent="0.2">
      <c r="B148" s="2"/>
      <c r="C148" s="2"/>
      <c r="D148" s="2"/>
    </row>
    <row r="149" spans="2:4" s="58" customFormat="1" x14ac:dyDescent="0.2">
      <c r="B149" s="2"/>
      <c r="C149" s="2"/>
      <c r="D149" s="2"/>
    </row>
    <row r="150" spans="2:4" s="58" customFormat="1" x14ac:dyDescent="0.2">
      <c r="B150" s="2"/>
      <c r="C150" s="2"/>
      <c r="D150" s="2"/>
    </row>
    <row r="151" spans="2:4" s="58" customFormat="1" x14ac:dyDescent="0.2">
      <c r="B151" s="2"/>
      <c r="C151" s="2"/>
      <c r="D151" s="2"/>
    </row>
    <row r="152" spans="2:4" s="58" customFormat="1" x14ac:dyDescent="0.2">
      <c r="B152" s="2"/>
      <c r="C152" s="2"/>
      <c r="D152" s="2"/>
    </row>
    <row r="153" spans="2:4" s="58" customFormat="1" x14ac:dyDescent="0.2">
      <c r="B153" s="2"/>
      <c r="C153" s="2"/>
      <c r="D153" s="2"/>
    </row>
    <row r="154" spans="2:4" s="58" customFormat="1" x14ac:dyDescent="0.2">
      <c r="B154" s="2"/>
      <c r="C154" s="2"/>
      <c r="D154" s="2"/>
    </row>
    <row r="155" spans="2:4" s="58" customFormat="1" x14ac:dyDescent="0.2">
      <c r="B155" s="2"/>
      <c r="C155" s="2"/>
      <c r="D155" s="2"/>
    </row>
    <row r="156" spans="2:4" s="58" customFormat="1" x14ac:dyDescent="0.2">
      <c r="B156" s="2"/>
      <c r="C156" s="2"/>
      <c r="D156" s="2"/>
    </row>
    <row r="157" spans="2:4" s="58" customFormat="1" x14ac:dyDescent="0.2">
      <c r="B157" s="2"/>
      <c r="C157" s="2"/>
      <c r="D157" s="2"/>
    </row>
    <row r="158" spans="2:4" s="58" customFormat="1" x14ac:dyDescent="0.2">
      <c r="B158" s="2"/>
      <c r="C158" s="2"/>
      <c r="D158" s="2"/>
    </row>
    <row r="159" spans="2:4" s="58" customFormat="1" x14ac:dyDescent="0.2">
      <c r="B159" s="2"/>
      <c r="C159" s="2"/>
      <c r="D159" s="2"/>
    </row>
    <row r="160" spans="2:4" s="58" customFormat="1" x14ac:dyDescent="0.2">
      <c r="B160" s="2"/>
      <c r="C160" s="2"/>
      <c r="D160" s="2"/>
    </row>
    <row r="161" spans="2:4" s="58" customFormat="1" x14ac:dyDescent="0.2">
      <c r="B161" s="2"/>
      <c r="C161" s="2"/>
      <c r="D161" s="2"/>
    </row>
    <row r="162" spans="2:4" s="58" customFormat="1" x14ac:dyDescent="0.2">
      <c r="B162" s="2"/>
      <c r="C162" s="2"/>
      <c r="D162" s="2"/>
    </row>
    <row r="163" spans="2:4" s="58" customFormat="1" x14ac:dyDescent="0.2">
      <c r="B163" s="2"/>
      <c r="C163" s="2"/>
      <c r="D163" s="2"/>
    </row>
    <row r="164" spans="2:4" s="58" customFormat="1" x14ac:dyDescent="0.2">
      <c r="B164" s="2"/>
      <c r="C164" s="2"/>
      <c r="D164" s="2"/>
    </row>
  </sheetData>
  <mergeCells count="12">
    <mergeCell ref="X3:Z3"/>
    <mergeCell ref="AA3:AC3"/>
    <mergeCell ref="AD3:AF3"/>
    <mergeCell ref="AG3:AI3"/>
    <mergeCell ref="AJ3:AL3"/>
    <mergeCell ref="AM3:AO3"/>
    <mergeCell ref="F3:H3"/>
    <mergeCell ref="I3:K3"/>
    <mergeCell ref="L3:N3"/>
    <mergeCell ref="O3:Q3"/>
    <mergeCell ref="R3:T3"/>
    <mergeCell ref="U3:W3"/>
  </mergeCells>
  <printOptions horizontalCentered="1"/>
  <pageMargins left="0.19685039370078741" right="3.937007874015748E-2" top="0.19685039370078741" bottom="0.19685039370078741" header="0" footer="0"/>
  <pageSetup paperSize="9" scale="35" firstPageNumber="2" orientation="landscape" cellComments="asDisplayed" r:id="rId1"/>
  <headerFooter alignWithMargins="0"/>
  <colBreaks count="2" manualBreakCount="2">
    <brk id="14" max="100" man="1"/>
    <brk id="29" max="100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A164"/>
  <sheetViews>
    <sheetView zoomScaleNormal="100" workbookViewId="0">
      <pane xSplit="2" ySplit="4" topLeftCell="C100" activePane="bottomRight" state="frozen"/>
      <selection pane="topRight" activeCell="C1" sqref="C1"/>
      <selection pane="bottomLeft" activeCell="A5" sqref="A5"/>
      <selection pane="bottomRight" activeCell="F124" sqref="F124"/>
    </sheetView>
  </sheetViews>
  <sheetFormatPr baseColWidth="10" defaultColWidth="12.42578125" defaultRowHeight="15" x14ac:dyDescent="0.2"/>
  <cols>
    <col min="1" max="1" width="44.7109375" style="3" customWidth="1"/>
    <col min="2" max="2" width="9" style="3" hidden="1" customWidth="1"/>
    <col min="3" max="3" width="16.28515625" style="3" customWidth="1"/>
    <col min="4" max="4" width="16.28515625" style="3" hidden="1" customWidth="1"/>
    <col min="5" max="5" width="12.42578125" style="3" customWidth="1"/>
    <col min="6" max="6" width="14.85546875" style="3" customWidth="1"/>
    <col min="7" max="7" width="15.85546875" style="3" customWidth="1"/>
    <col min="8" max="8" width="14.85546875" style="3" customWidth="1"/>
    <col min="9" max="9" width="15.5703125" style="3" bestFit="1" customWidth="1"/>
    <col min="10" max="10" width="15.85546875" style="3" customWidth="1"/>
    <col min="11" max="11" width="14" style="3" bestFit="1" customWidth="1"/>
    <col min="12" max="12" width="14.85546875" style="3" hidden="1" customWidth="1"/>
    <col min="13" max="13" width="10.85546875" style="3" hidden="1" customWidth="1"/>
    <col min="14" max="14" width="14.85546875" style="3" hidden="1" customWidth="1"/>
    <col min="15" max="15" width="14.85546875" style="3" customWidth="1"/>
    <col min="16" max="16" width="13" style="3" customWidth="1"/>
    <col min="17" max="17" width="14.85546875" style="3" customWidth="1"/>
    <col min="18" max="20" width="13.42578125" style="3" customWidth="1"/>
    <col min="21" max="21" width="13.42578125" style="3" bestFit="1" customWidth="1"/>
    <col min="22" max="22" width="10.85546875" style="3" bestFit="1" customWidth="1"/>
    <col min="23" max="23" width="13.42578125" style="3" bestFit="1" customWidth="1"/>
    <col min="24" max="24" width="12.5703125" style="3" bestFit="1" customWidth="1"/>
    <col min="25" max="25" width="10.85546875" style="3" bestFit="1" customWidth="1"/>
    <col min="26" max="26" width="12.5703125" style="3" bestFit="1" customWidth="1"/>
    <col min="27" max="27" width="11.5703125" style="3" bestFit="1" customWidth="1"/>
    <col min="28" max="28" width="10.85546875" style="3" bestFit="1" customWidth="1"/>
    <col min="29" max="29" width="16" style="3" customWidth="1"/>
    <col min="30" max="32" width="9" style="3" customWidth="1"/>
    <col min="33" max="41" width="9" style="3" hidden="1" customWidth="1"/>
    <col min="42" max="43" width="33" style="3" customWidth="1"/>
    <col min="44" max="235" width="12.42578125" style="3" customWidth="1"/>
    <col min="236" max="16384" width="12.42578125" style="58"/>
  </cols>
  <sheetData>
    <row r="1" spans="1:41" s="58" customFormat="1" ht="30" x14ac:dyDescent="0.4">
      <c r="A1" s="1" t="s">
        <v>39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 t="s">
        <v>176</v>
      </c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s="58" customFormat="1" ht="6.95" customHeight="1" x14ac:dyDescent="0.2">
      <c r="A2" s="3"/>
      <c r="B2" s="2"/>
      <c r="C2" s="2"/>
      <c r="D2" s="2"/>
      <c r="E2" s="3"/>
      <c r="F2" s="3"/>
      <c r="G2" s="3"/>
      <c r="H2" s="3"/>
      <c r="I2" s="3"/>
      <c r="J2" s="123"/>
      <c r="K2" s="3"/>
      <c r="L2" s="3"/>
      <c r="M2" s="3"/>
      <c r="N2" s="3"/>
      <c r="O2" s="3"/>
      <c r="P2" s="123"/>
      <c r="Q2" s="3"/>
      <c r="R2" s="3"/>
      <c r="S2" s="12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s="58" customFormat="1" x14ac:dyDescent="0.2">
      <c r="A3" s="4" t="s">
        <v>0</v>
      </c>
      <c r="B3" s="148"/>
      <c r="C3" s="148"/>
      <c r="D3" s="148"/>
      <c r="E3" s="3"/>
      <c r="F3" s="162" t="s">
        <v>41</v>
      </c>
      <c r="G3" s="162"/>
      <c r="H3" s="162"/>
      <c r="I3" s="163" t="s">
        <v>45</v>
      </c>
      <c r="J3" s="163"/>
      <c r="K3" s="163"/>
      <c r="L3" s="162" t="s">
        <v>172</v>
      </c>
      <c r="M3" s="162"/>
      <c r="N3" s="162"/>
      <c r="O3" s="163" t="s">
        <v>43</v>
      </c>
      <c r="P3" s="163"/>
      <c r="Q3" s="163"/>
      <c r="R3" s="162" t="s">
        <v>44</v>
      </c>
      <c r="S3" s="162"/>
      <c r="T3" s="162"/>
      <c r="U3" s="163" t="s">
        <v>51</v>
      </c>
      <c r="V3" s="163"/>
      <c r="W3" s="163"/>
      <c r="X3" s="162" t="s">
        <v>161</v>
      </c>
      <c r="Y3" s="162"/>
      <c r="Z3" s="162"/>
      <c r="AA3" s="163" t="s">
        <v>48</v>
      </c>
      <c r="AB3" s="163"/>
      <c r="AC3" s="163"/>
      <c r="AD3" s="162" t="s">
        <v>49</v>
      </c>
      <c r="AE3" s="162"/>
      <c r="AF3" s="162"/>
      <c r="AG3" s="163"/>
      <c r="AH3" s="163"/>
      <c r="AI3" s="163"/>
      <c r="AJ3" s="162"/>
      <c r="AK3" s="162"/>
      <c r="AL3" s="162"/>
      <c r="AM3" s="163"/>
      <c r="AN3" s="163"/>
      <c r="AO3" s="163"/>
    </row>
    <row r="4" spans="1:41" s="58" customFormat="1" x14ac:dyDescent="0.2">
      <c r="A4" s="6" t="s">
        <v>1</v>
      </c>
      <c r="B4" s="148"/>
      <c r="C4" s="7">
        <v>2021</v>
      </c>
      <c r="D4" s="8" t="s">
        <v>2</v>
      </c>
      <c r="E4" s="3"/>
      <c r="F4" s="62">
        <f>$C$4</f>
        <v>2021</v>
      </c>
      <c r="G4" s="63" t="s">
        <v>38</v>
      </c>
      <c r="H4" s="63" t="s">
        <v>40</v>
      </c>
      <c r="I4" s="61">
        <f>F4</f>
        <v>2021</v>
      </c>
      <c r="J4" s="60" t="s">
        <v>38</v>
      </c>
      <c r="K4" s="60" t="s">
        <v>40</v>
      </c>
      <c r="L4" s="62">
        <f>F4</f>
        <v>2021</v>
      </c>
      <c r="M4" s="63" t="s">
        <v>38</v>
      </c>
      <c r="N4" s="63" t="s">
        <v>40</v>
      </c>
      <c r="O4" s="61">
        <f>F4</f>
        <v>2021</v>
      </c>
      <c r="P4" s="60" t="s">
        <v>38</v>
      </c>
      <c r="Q4" s="60" t="s">
        <v>40</v>
      </c>
      <c r="R4" s="62">
        <f>F4</f>
        <v>2021</v>
      </c>
      <c r="S4" s="63" t="s">
        <v>38</v>
      </c>
      <c r="T4" s="63" t="s">
        <v>40</v>
      </c>
      <c r="U4" s="61">
        <f>F4</f>
        <v>2021</v>
      </c>
      <c r="V4" s="60" t="s">
        <v>38</v>
      </c>
      <c r="W4" s="60" t="s">
        <v>40</v>
      </c>
      <c r="X4" s="62">
        <f>F4</f>
        <v>2021</v>
      </c>
      <c r="Y4" s="63" t="s">
        <v>38</v>
      </c>
      <c r="Z4" s="63" t="s">
        <v>40</v>
      </c>
      <c r="AA4" s="61">
        <f>F4</f>
        <v>2021</v>
      </c>
      <c r="AB4" s="60" t="s">
        <v>38</v>
      </c>
      <c r="AC4" s="60" t="s">
        <v>40</v>
      </c>
      <c r="AD4" s="62">
        <f>F4</f>
        <v>2021</v>
      </c>
      <c r="AE4" s="63" t="s">
        <v>38</v>
      </c>
      <c r="AF4" s="63" t="s">
        <v>40</v>
      </c>
      <c r="AG4" s="61"/>
      <c r="AH4" s="60" t="s">
        <v>38</v>
      </c>
      <c r="AI4" s="60" t="s">
        <v>40</v>
      </c>
      <c r="AJ4" s="62"/>
      <c r="AK4" s="63" t="s">
        <v>38</v>
      </c>
      <c r="AL4" s="63" t="s">
        <v>40</v>
      </c>
      <c r="AM4" s="61"/>
      <c r="AN4" s="60" t="s">
        <v>38</v>
      </c>
      <c r="AO4" s="60" t="s">
        <v>40</v>
      </c>
    </row>
    <row r="5" spans="1:41" s="58" customFormat="1" ht="17.100000000000001" customHeight="1" x14ac:dyDescent="0.25">
      <c r="A5" s="9" t="s">
        <v>3</v>
      </c>
      <c r="B5" s="10" t="s">
        <v>4</v>
      </c>
      <c r="C5" s="11"/>
      <c r="D5" s="11" t="s">
        <v>2</v>
      </c>
      <c r="E5" s="3"/>
      <c r="F5" s="65"/>
      <c r="G5" s="65"/>
      <c r="H5" s="65"/>
      <c r="I5" s="66"/>
      <c r="J5" s="66"/>
      <c r="K5" s="66"/>
      <c r="L5" s="65"/>
      <c r="M5" s="65"/>
      <c r="N5" s="65"/>
      <c r="O5" s="66"/>
      <c r="P5" s="66"/>
      <c r="Q5" s="66"/>
      <c r="R5" s="65"/>
      <c r="S5" s="65"/>
      <c r="T5" s="65"/>
      <c r="U5" s="66"/>
      <c r="V5" s="66"/>
      <c r="W5" s="66"/>
      <c r="X5" s="65"/>
      <c r="Y5" s="65"/>
      <c r="Z5" s="65"/>
      <c r="AA5" s="66"/>
      <c r="AB5" s="66"/>
      <c r="AC5" s="66"/>
      <c r="AD5" s="65"/>
      <c r="AE5" s="65"/>
      <c r="AF5" s="65"/>
      <c r="AG5" s="66"/>
      <c r="AH5" s="66"/>
      <c r="AI5" s="66"/>
      <c r="AJ5" s="65"/>
      <c r="AK5" s="65"/>
      <c r="AL5" s="65"/>
      <c r="AM5" s="66"/>
      <c r="AN5" s="66"/>
      <c r="AO5" s="66"/>
    </row>
    <row r="6" spans="1:41" s="58" customFormat="1" ht="9" customHeight="1" x14ac:dyDescent="0.2">
      <c r="A6" s="12"/>
      <c r="B6" s="13"/>
      <c r="C6" s="12"/>
      <c r="D6" s="12"/>
      <c r="E6" s="3"/>
      <c r="F6" s="65"/>
      <c r="G6" s="65"/>
      <c r="H6" s="65"/>
      <c r="I6" s="66"/>
      <c r="J6" s="66"/>
      <c r="K6" s="66"/>
      <c r="L6" s="65"/>
      <c r="M6" s="65"/>
      <c r="N6" s="65"/>
      <c r="O6" s="66"/>
      <c r="P6" s="66"/>
      <c r="Q6" s="66"/>
      <c r="R6" s="65"/>
      <c r="S6" s="65"/>
      <c r="T6" s="65"/>
      <c r="U6" s="66"/>
      <c r="V6" s="66"/>
      <c r="W6" s="66"/>
      <c r="X6" s="65"/>
      <c r="Y6" s="65"/>
      <c r="Z6" s="65"/>
      <c r="AA6" s="66"/>
      <c r="AB6" s="66"/>
      <c r="AC6" s="66"/>
      <c r="AD6" s="65"/>
      <c r="AE6" s="65"/>
      <c r="AF6" s="65"/>
      <c r="AG6" s="66"/>
      <c r="AH6" s="66"/>
      <c r="AI6" s="66"/>
      <c r="AJ6" s="65"/>
      <c r="AK6" s="65"/>
      <c r="AL6" s="65"/>
      <c r="AM6" s="66"/>
      <c r="AN6" s="66"/>
      <c r="AO6" s="66"/>
    </row>
    <row r="7" spans="1:41" s="58" customFormat="1" ht="17.25" customHeight="1" x14ac:dyDescent="0.2">
      <c r="A7" s="64" t="s">
        <v>82</v>
      </c>
      <c r="B7" s="13"/>
      <c r="C7" s="14">
        <f>H7+K7+N7+Q7+T7+W7+Z7+AC7+AF7+AI7+AL7</f>
        <v>166099</v>
      </c>
      <c r="D7" s="14">
        <v>60000</v>
      </c>
      <c r="E7" s="3"/>
      <c r="F7" s="132">
        <v>0</v>
      </c>
      <c r="G7" s="65"/>
      <c r="H7" s="65">
        <f t="shared" ref="H7:H41" si="0">F7+G7</f>
        <v>0</v>
      </c>
      <c r="I7" s="132">
        <v>15898</v>
      </c>
      <c r="J7" s="66"/>
      <c r="K7" s="66">
        <f t="shared" ref="K7:K41" si="1">I7+J7</f>
        <v>15898</v>
      </c>
      <c r="L7" s="132"/>
      <c r="M7" s="65"/>
      <c r="N7" s="65">
        <f t="shared" ref="N7:N41" si="2">L7+M7</f>
        <v>0</v>
      </c>
      <c r="O7" s="132">
        <v>93260</v>
      </c>
      <c r="P7" s="66"/>
      <c r="Q7" s="66">
        <f t="shared" ref="Q7:Q41" si="3">O7+P7</f>
        <v>93260</v>
      </c>
      <c r="R7" s="132">
        <v>56941</v>
      </c>
      <c r="S7" s="65"/>
      <c r="T7" s="65">
        <f t="shared" ref="T7:T41" si="4">R7+S7</f>
        <v>56941</v>
      </c>
      <c r="U7" s="66"/>
      <c r="V7" s="66"/>
      <c r="W7" s="66">
        <f t="shared" ref="W7:W41" si="5">U7+V7</f>
        <v>0</v>
      </c>
      <c r="X7" s="65"/>
      <c r="Y7" s="65"/>
      <c r="Z7" s="65">
        <f t="shared" ref="Z7:Z41" si="6">X7+Y7</f>
        <v>0</v>
      </c>
      <c r="AA7" s="66"/>
      <c r="AB7" s="66"/>
      <c r="AC7" s="66">
        <f t="shared" ref="AC7:AC41" si="7">AA7+AB7</f>
        <v>0</v>
      </c>
      <c r="AD7" s="65"/>
      <c r="AE7" s="65"/>
      <c r="AF7" s="65">
        <f t="shared" ref="AF7:AF41" si="8">AD7+AE7</f>
        <v>0</v>
      </c>
      <c r="AG7" s="66"/>
      <c r="AH7" s="66"/>
      <c r="AI7" s="66">
        <f t="shared" ref="AI7:AI41" si="9">AG7+AH7</f>
        <v>0</v>
      </c>
      <c r="AJ7" s="65"/>
      <c r="AK7" s="65"/>
      <c r="AL7" s="65">
        <f t="shared" ref="AL7:AL41" si="10">AJ7+AK7</f>
        <v>0</v>
      </c>
      <c r="AM7" s="66"/>
      <c r="AN7" s="66"/>
      <c r="AO7" s="66">
        <f t="shared" ref="AO7" si="11">AM7+AN7</f>
        <v>0</v>
      </c>
    </row>
    <row r="8" spans="1:41" s="58" customFormat="1" ht="17.25" customHeight="1" x14ac:dyDescent="0.2">
      <c r="A8" s="64" t="s">
        <v>96</v>
      </c>
      <c r="B8" s="13"/>
      <c r="C8" s="14">
        <f t="shared" ref="C8:C10" si="12">H8+K8+N8+Q8+T8+W8+Z8+AC8+AF8+AI8+AL8</f>
        <v>20000</v>
      </c>
      <c r="D8" s="14"/>
      <c r="E8" s="3"/>
      <c r="F8" s="132"/>
      <c r="G8" s="65"/>
      <c r="H8" s="65">
        <f t="shared" si="0"/>
        <v>0</v>
      </c>
      <c r="I8" s="132">
        <v>20000</v>
      </c>
      <c r="J8" s="66"/>
      <c r="K8" s="66">
        <f t="shared" si="1"/>
        <v>20000</v>
      </c>
      <c r="L8" s="132"/>
      <c r="M8" s="65"/>
      <c r="N8" s="65">
        <f>L8+M8</f>
        <v>0</v>
      </c>
      <c r="O8" s="132">
        <v>0</v>
      </c>
      <c r="P8" s="66"/>
      <c r="Q8" s="66">
        <f t="shared" si="3"/>
        <v>0</v>
      </c>
      <c r="R8" s="132">
        <v>0</v>
      </c>
      <c r="S8" s="65"/>
      <c r="T8" s="65">
        <f t="shared" si="4"/>
        <v>0</v>
      </c>
      <c r="U8" s="132"/>
      <c r="V8" s="66"/>
      <c r="W8" s="66">
        <f t="shared" si="5"/>
        <v>0</v>
      </c>
      <c r="X8" s="132"/>
      <c r="Y8" s="65"/>
      <c r="Z8" s="65">
        <f t="shared" si="6"/>
        <v>0</v>
      </c>
      <c r="AA8" s="132"/>
      <c r="AB8" s="66"/>
      <c r="AC8" s="66">
        <f t="shared" si="7"/>
        <v>0</v>
      </c>
      <c r="AD8" s="65"/>
      <c r="AE8" s="65"/>
      <c r="AF8" s="65"/>
      <c r="AG8" s="66"/>
      <c r="AH8" s="66"/>
      <c r="AI8" s="66"/>
      <c r="AJ8" s="65"/>
      <c r="AK8" s="65"/>
      <c r="AL8" s="65"/>
      <c r="AM8" s="66"/>
      <c r="AN8" s="66"/>
      <c r="AO8" s="66"/>
    </row>
    <row r="9" spans="1:41" s="58" customFormat="1" ht="17.25" customHeight="1" x14ac:dyDescent="0.2">
      <c r="A9" s="64" t="s">
        <v>84</v>
      </c>
      <c r="B9" s="13"/>
      <c r="C9" s="14">
        <f t="shared" si="12"/>
        <v>130490</v>
      </c>
      <c r="D9" s="14"/>
      <c r="E9" s="3"/>
      <c r="F9" s="132"/>
      <c r="G9" s="65"/>
      <c r="H9" s="65">
        <f t="shared" si="0"/>
        <v>0</v>
      </c>
      <c r="I9" s="132">
        <v>130490</v>
      </c>
      <c r="J9" s="66"/>
      <c r="K9" s="66">
        <f t="shared" si="1"/>
        <v>130490</v>
      </c>
      <c r="L9" s="132"/>
      <c r="M9" s="65"/>
      <c r="N9" s="65">
        <f>L9+M9</f>
        <v>0</v>
      </c>
      <c r="O9" s="132"/>
      <c r="P9" s="66"/>
      <c r="Q9" s="66">
        <f t="shared" si="3"/>
        <v>0</v>
      </c>
      <c r="R9" s="132"/>
      <c r="S9" s="65"/>
      <c r="T9" s="65">
        <f t="shared" si="4"/>
        <v>0</v>
      </c>
      <c r="U9" s="132">
        <v>0</v>
      </c>
      <c r="V9" s="66"/>
      <c r="W9" s="66">
        <f t="shared" si="5"/>
        <v>0</v>
      </c>
      <c r="X9" s="132"/>
      <c r="Y9" s="65"/>
      <c r="Z9" s="65">
        <f t="shared" si="6"/>
        <v>0</v>
      </c>
      <c r="AA9" s="132"/>
      <c r="AB9" s="66"/>
      <c r="AC9" s="66">
        <f t="shared" si="7"/>
        <v>0</v>
      </c>
      <c r="AD9" s="65"/>
      <c r="AE9" s="65"/>
      <c r="AF9" s="65"/>
      <c r="AG9" s="66"/>
      <c r="AH9" s="66"/>
      <c r="AI9" s="66"/>
      <c r="AJ9" s="65"/>
      <c r="AK9" s="65"/>
      <c r="AL9" s="65"/>
      <c r="AM9" s="66"/>
      <c r="AN9" s="66"/>
      <c r="AO9" s="66"/>
    </row>
    <row r="10" spans="1:41" s="58" customFormat="1" ht="17.25" customHeight="1" x14ac:dyDescent="0.2">
      <c r="A10" s="64" t="s">
        <v>86</v>
      </c>
      <c r="B10" s="13"/>
      <c r="C10" s="14">
        <f t="shared" si="12"/>
        <v>37950</v>
      </c>
      <c r="D10" s="14"/>
      <c r="E10" s="3"/>
      <c r="F10" s="132"/>
      <c r="G10" s="65"/>
      <c r="H10" s="65">
        <f t="shared" si="0"/>
        <v>0</v>
      </c>
      <c r="I10" s="132">
        <v>0</v>
      </c>
      <c r="J10" s="66"/>
      <c r="K10" s="66">
        <f t="shared" si="1"/>
        <v>0</v>
      </c>
      <c r="L10" s="132"/>
      <c r="M10" s="65"/>
      <c r="N10" s="65">
        <f>L10+M10</f>
        <v>0</v>
      </c>
      <c r="O10" s="132">
        <v>37950</v>
      </c>
      <c r="P10" s="66"/>
      <c r="Q10" s="66">
        <f t="shared" si="3"/>
        <v>37950</v>
      </c>
      <c r="R10" s="132">
        <v>0</v>
      </c>
      <c r="S10" s="65"/>
      <c r="T10" s="65">
        <f t="shared" si="4"/>
        <v>0</v>
      </c>
      <c r="U10" s="132">
        <v>0</v>
      </c>
      <c r="V10" s="66"/>
      <c r="W10" s="66">
        <f t="shared" si="5"/>
        <v>0</v>
      </c>
      <c r="X10" s="132"/>
      <c r="Y10" s="65"/>
      <c r="Z10" s="65">
        <f t="shared" si="6"/>
        <v>0</v>
      </c>
      <c r="AA10" s="132"/>
      <c r="AB10" s="66"/>
      <c r="AC10" s="66">
        <f t="shared" si="7"/>
        <v>0</v>
      </c>
      <c r="AD10" s="65"/>
      <c r="AE10" s="65"/>
      <c r="AF10" s="65"/>
      <c r="AG10" s="66"/>
      <c r="AH10" s="66"/>
      <c r="AI10" s="66"/>
      <c r="AJ10" s="65"/>
      <c r="AK10" s="65"/>
      <c r="AL10" s="65"/>
      <c r="AM10" s="66"/>
      <c r="AN10" s="66"/>
      <c r="AO10" s="66"/>
    </row>
    <row r="11" spans="1:41" s="58" customFormat="1" ht="17.25" customHeight="1" x14ac:dyDescent="0.2">
      <c r="A11" s="64" t="s">
        <v>88</v>
      </c>
      <c r="B11" s="13"/>
      <c r="C11" s="14">
        <f t="shared" ref="C11:C21" si="13">H11+K11+N11+Q11+T11+W11+Z11+AC11+AF11+AI11+AL11+AO11</f>
        <v>316000</v>
      </c>
      <c r="D11" s="14"/>
      <c r="E11" s="3"/>
      <c r="F11" s="132">
        <v>316000</v>
      </c>
      <c r="G11" s="65"/>
      <c r="H11" s="65">
        <f t="shared" si="0"/>
        <v>316000</v>
      </c>
      <c r="I11" s="132"/>
      <c r="J11" s="66"/>
      <c r="K11" s="66">
        <f t="shared" si="1"/>
        <v>0</v>
      </c>
      <c r="L11" s="132"/>
      <c r="M11" s="65"/>
      <c r="N11" s="65">
        <f t="shared" si="2"/>
        <v>0</v>
      </c>
      <c r="O11" s="132"/>
      <c r="P11" s="66"/>
      <c r="Q11" s="66">
        <f t="shared" si="3"/>
        <v>0</v>
      </c>
      <c r="R11" s="132"/>
      <c r="S11" s="65"/>
      <c r="T11" s="65">
        <f t="shared" si="4"/>
        <v>0</v>
      </c>
      <c r="U11" s="132"/>
      <c r="V11" s="66"/>
      <c r="W11" s="66">
        <f t="shared" si="5"/>
        <v>0</v>
      </c>
      <c r="X11" s="132"/>
      <c r="Y11" s="65"/>
      <c r="Z11" s="65">
        <f t="shared" si="6"/>
        <v>0</v>
      </c>
      <c r="AA11" s="132"/>
      <c r="AB11" s="66"/>
      <c r="AC11" s="66">
        <f t="shared" si="7"/>
        <v>0</v>
      </c>
      <c r="AD11" s="65"/>
      <c r="AE11" s="65"/>
      <c r="AF11" s="65">
        <f t="shared" si="8"/>
        <v>0</v>
      </c>
      <c r="AG11" s="66"/>
      <c r="AH11" s="66"/>
      <c r="AI11" s="66">
        <f t="shared" si="9"/>
        <v>0</v>
      </c>
      <c r="AJ11" s="65"/>
      <c r="AK11" s="65"/>
      <c r="AL11" s="65">
        <f t="shared" si="10"/>
        <v>0</v>
      </c>
      <c r="AM11" s="66"/>
      <c r="AN11" s="66"/>
      <c r="AO11" s="66">
        <f t="shared" ref="AO11" si="14">AM11+AN11</f>
        <v>0</v>
      </c>
    </row>
    <row r="12" spans="1:41" s="58" customFormat="1" ht="17.25" customHeight="1" x14ac:dyDescent="0.2">
      <c r="A12" s="64" t="s">
        <v>58</v>
      </c>
      <c r="B12" s="13"/>
      <c r="C12" s="14">
        <f t="shared" si="13"/>
        <v>181705</v>
      </c>
      <c r="D12" s="14"/>
      <c r="E12" s="3"/>
      <c r="F12" s="132">
        <v>181705</v>
      </c>
      <c r="G12" s="65"/>
      <c r="H12" s="65">
        <f t="shared" si="0"/>
        <v>181705</v>
      </c>
      <c r="I12" s="132"/>
      <c r="J12" s="66"/>
      <c r="K12" s="66">
        <f t="shared" si="1"/>
        <v>0</v>
      </c>
      <c r="L12" s="132"/>
      <c r="M12" s="65"/>
      <c r="N12" s="65">
        <f>L12+M12</f>
        <v>0</v>
      </c>
      <c r="O12" s="132"/>
      <c r="P12" s="66"/>
      <c r="Q12" s="66">
        <f t="shared" si="3"/>
        <v>0</v>
      </c>
      <c r="R12" s="132"/>
      <c r="S12" s="65"/>
      <c r="T12" s="65">
        <f t="shared" si="4"/>
        <v>0</v>
      </c>
      <c r="U12" s="132"/>
      <c r="V12" s="66"/>
      <c r="W12" s="66">
        <f t="shared" si="5"/>
        <v>0</v>
      </c>
      <c r="X12" s="132"/>
      <c r="Y12" s="65"/>
      <c r="Z12" s="65">
        <f t="shared" si="6"/>
        <v>0</v>
      </c>
      <c r="AA12" s="132"/>
      <c r="AB12" s="66"/>
      <c r="AC12" s="66">
        <f t="shared" si="7"/>
        <v>0</v>
      </c>
      <c r="AD12" s="65"/>
      <c r="AE12" s="65"/>
      <c r="AF12" s="65"/>
      <c r="AG12" s="66"/>
      <c r="AH12" s="66"/>
      <c r="AI12" s="66"/>
      <c r="AJ12" s="65"/>
      <c r="AK12" s="65"/>
      <c r="AL12" s="65"/>
      <c r="AM12" s="66"/>
      <c r="AN12" s="66"/>
      <c r="AO12" s="66"/>
    </row>
    <row r="13" spans="1:41" s="58" customFormat="1" ht="17.25" customHeight="1" x14ac:dyDescent="0.2">
      <c r="A13" s="64" t="s">
        <v>59</v>
      </c>
      <c r="B13" s="13"/>
      <c r="C13" s="14">
        <f t="shared" si="13"/>
        <v>17238</v>
      </c>
      <c r="D13" s="14"/>
      <c r="E13" s="3"/>
      <c r="F13" s="132">
        <v>100000</v>
      </c>
      <c r="G13" s="120">
        <f>-100000</f>
        <v>-100000</v>
      </c>
      <c r="H13" s="65">
        <f t="shared" si="0"/>
        <v>0</v>
      </c>
      <c r="I13" s="132">
        <v>43845</v>
      </c>
      <c r="J13" s="120">
        <v>-43845</v>
      </c>
      <c r="K13" s="66">
        <f t="shared" si="1"/>
        <v>0</v>
      </c>
      <c r="L13" s="132"/>
      <c r="M13" s="65"/>
      <c r="N13" s="65">
        <f t="shared" si="2"/>
        <v>0</v>
      </c>
      <c r="O13" s="133">
        <f>134025+68335</f>
        <v>202360</v>
      </c>
      <c r="P13" s="120">
        <f>-134025-68335</f>
        <v>-202360</v>
      </c>
      <c r="Q13" s="66">
        <f t="shared" si="3"/>
        <v>0</v>
      </c>
      <c r="R13" s="132"/>
      <c r="S13" s="65"/>
      <c r="T13" s="65">
        <f t="shared" si="4"/>
        <v>0</v>
      </c>
      <c r="U13" s="132">
        <v>12460</v>
      </c>
      <c r="V13" s="120">
        <v>-12460</v>
      </c>
      <c r="W13" s="66">
        <f t="shared" si="5"/>
        <v>0</v>
      </c>
      <c r="X13" s="132"/>
      <c r="Y13" s="65"/>
      <c r="Z13" s="65">
        <f t="shared" si="6"/>
        <v>0</v>
      </c>
      <c r="AA13" s="132">
        <v>17238</v>
      </c>
      <c r="AB13" s="120">
        <v>0</v>
      </c>
      <c r="AC13" s="66">
        <f t="shared" si="7"/>
        <v>17238</v>
      </c>
      <c r="AD13" s="65">
        <v>0</v>
      </c>
      <c r="AE13" s="120">
        <v>0</v>
      </c>
      <c r="AF13" s="65">
        <f t="shared" si="8"/>
        <v>0</v>
      </c>
      <c r="AG13" s="66"/>
      <c r="AH13" s="66"/>
      <c r="AI13" s="66">
        <f t="shared" si="9"/>
        <v>0</v>
      </c>
      <c r="AJ13" s="65"/>
      <c r="AK13" s="65"/>
      <c r="AL13" s="65">
        <f t="shared" si="10"/>
        <v>0</v>
      </c>
      <c r="AM13" s="66"/>
      <c r="AN13" s="66"/>
      <c r="AO13" s="66">
        <f t="shared" ref="AO13:AO21" si="15">AM13+AN13</f>
        <v>0</v>
      </c>
    </row>
    <row r="14" spans="1:41" s="58" customFormat="1" ht="17.25" customHeight="1" x14ac:dyDescent="0.2">
      <c r="A14" s="64" t="s">
        <v>87</v>
      </c>
      <c r="B14" s="13"/>
      <c r="C14" s="14">
        <f t="shared" si="13"/>
        <v>40200</v>
      </c>
      <c r="D14" s="14">
        <v>80000</v>
      </c>
      <c r="E14" s="3"/>
      <c r="F14" s="132">
        <v>40200</v>
      </c>
      <c r="G14" s="65"/>
      <c r="H14" s="65">
        <f t="shared" si="0"/>
        <v>40200</v>
      </c>
      <c r="I14" s="132"/>
      <c r="J14" s="66"/>
      <c r="K14" s="66">
        <f t="shared" si="1"/>
        <v>0</v>
      </c>
      <c r="L14" s="132"/>
      <c r="M14" s="65"/>
      <c r="N14" s="65">
        <f t="shared" si="2"/>
        <v>0</v>
      </c>
      <c r="O14" s="132"/>
      <c r="P14" s="66"/>
      <c r="Q14" s="66">
        <f t="shared" si="3"/>
        <v>0</v>
      </c>
      <c r="R14" s="132"/>
      <c r="S14" s="65"/>
      <c r="T14" s="65">
        <f t="shared" si="4"/>
        <v>0</v>
      </c>
      <c r="U14" s="132"/>
      <c r="V14" s="66"/>
      <c r="W14" s="66">
        <f t="shared" si="5"/>
        <v>0</v>
      </c>
      <c r="X14" s="132"/>
      <c r="Y14" s="65"/>
      <c r="Z14" s="65">
        <f t="shared" si="6"/>
        <v>0</v>
      </c>
      <c r="AA14" s="132"/>
      <c r="AB14" s="66"/>
      <c r="AC14" s="66">
        <f t="shared" si="7"/>
        <v>0</v>
      </c>
      <c r="AD14" s="65"/>
      <c r="AE14" s="65"/>
      <c r="AF14" s="65">
        <f t="shared" si="8"/>
        <v>0</v>
      </c>
      <c r="AG14" s="66"/>
      <c r="AH14" s="66"/>
      <c r="AI14" s="66">
        <f t="shared" si="9"/>
        <v>0</v>
      </c>
      <c r="AJ14" s="65"/>
      <c r="AK14" s="65"/>
      <c r="AL14" s="65">
        <f t="shared" si="10"/>
        <v>0</v>
      </c>
      <c r="AM14" s="66"/>
      <c r="AN14" s="66"/>
      <c r="AO14" s="66">
        <f t="shared" si="15"/>
        <v>0</v>
      </c>
    </row>
    <row r="15" spans="1:41" s="58" customFormat="1" ht="17.25" customHeight="1" x14ac:dyDescent="0.2">
      <c r="A15" s="64" t="s">
        <v>53</v>
      </c>
      <c r="B15" s="13"/>
      <c r="C15" s="14">
        <f t="shared" si="13"/>
        <v>276517</v>
      </c>
      <c r="D15" s="14">
        <v>45000</v>
      </c>
      <c r="E15" s="3"/>
      <c r="F15" s="132">
        <v>0</v>
      </c>
      <c r="G15" s="65"/>
      <c r="H15" s="65">
        <f t="shared" si="0"/>
        <v>0</v>
      </c>
      <c r="I15" s="132">
        <v>46400</v>
      </c>
      <c r="J15" s="66"/>
      <c r="K15" s="66">
        <f t="shared" si="1"/>
        <v>46400</v>
      </c>
      <c r="L15" s="132"/>
      <c r="M15" s="65"/>
      <c r="N15" s="65">
        <f t="shared" si="2"/>
        <v>0</v>
      </c>
      <c r="O15" s="132">
        <v>209025</v>
      </c>
      <c r="P15" s="66"/>
      <c r="Q15" s="66">
        <f t="shared" si="3"/>
        <v>209025</v>
      </c>
      <c r="R15" s="132"/>
      <c r="S15" s="65"/>
      <c r="T15" s="65">
        <f t="shared" si="4"/>
        <v>0</v>
      </c>
      <c r="U15" s="132">
        <v>15292</v>
      </c>
      <c r="V15" s="66"/>
      <c r="W15" s="66">
        <f t="shared" si="5"/>
        <v>15292</v>
      </c>
      <c r="X15" s="132"/>
      <c r="Y15" s="65"/>
      <c r="Z15" s="65">
        <f t="shared" si="6"/>
        <v>0</v>
      </c>
      <c r="AA15" s="132">
        <v>1000</v>
      </c>
      <c r="AB15" s="66"/>
      <c r="AC15" s="66">
        <f t="shared" si="7"/>
        <v>1000</v>
      </c>
      <c r="AD15" s="65">
        <v>4800</v>
      </c>
      <c r="AE15" s="65"/>
      <c r="AF15" s="65">
        <f t="shared" si="8"/>
        <v>4800</v>
      </c>
      <c r="AG15" s="66"/>
      <c r="AH15" s="66"/>
      <c r="AI15" s="66">
        <f t="shared" si="9"/>
        <v>0</v>
      </c>
      <c r="AJ15" s="65"/>
      <c r="AK15" s="65"/>
      <c r="AL15" s="65">
        <f t="shared" si="10"/>
        <v>0</v>
      </c>
      <c r="AM15" s="66"/>
      <c r="AN15" s="66"/>
      <c r="AO15" s="66">
        <f t="shared" si="15"/>
        <v>0</v>
      </c>
    </row>
    <row r="16" spans="1:41" s="58" customFormat="1" ht="17.25" customHeight="1" x14ac:dyDescent="0.2">
      <c r="A16" s="64" t="s">
        <v>54</v>
      </c>
      <c r="B16" s="13"/>
      <c r="C16" s="14">
        <f t="shared" si="13"/>
        <v>408067</v>
      </c>
      <c r="D16" s="14">
        <v>3000</v>
      </c>
      <c r="E16" s="3"/>
      <c r="F16" s="132">
        <f>350753+30000</f>
        <v>380753</v>
      </c>
      <c r="G16" s="120"/>
      <c r="H16" s="65">
        <f t="shared" si="0"/>
        <v>380753</v>
      </c>
      <c r="I16" s="132">
        <v>0</v>
      </c>
      <c r="J16" s="66"/>
      <c r="K16" s="66">
        <f t="shared" si="1"/>
        <v>0</v>
      </c>
      <c r="L16" s="132"/>
      <c r="M16" s="65"/>
      <c r="N16" s="65">
        <f t="shared" si="2"/>
        <v>0</v>
      </c>
      <c r="O16" s="132">
        <v>27314</v>
      </c>
      <c r="P16" s="66"/>
      <c r="Q16" s="66">
        <f t="shared" si="3"/>
        <v>27314</v>
      </c>
      <c r="R16" s="132"/>
      <c r="S16" s="65"/>
      <c r="T16" s="65">
        <f t="shared" si="4"/>
        <v>0</v>
      </c>
      <c r="U16" s="132">
        <v>0</v>
      </c>
      <c r="V16" s="66"/>
      <c r="W16" s="66">
        <f t="shared" si="5"/>
        <v>0</v>
      </c>
      <c r="X16" s="132"/>
      <c r="Y16" s="65"/>
      <c r="Z16" s="65">
        <f t="shared" si="6"/>
        <v>0</v>
      </c>
      <c r="AA16" s="132"/>
      <c r="AB16" s="66"/>
      <c r="AC16" s="66">
        <f t="shared" si="7"/>
        <v>0</v>
      </c>
      <c r="AD16" s="65"/>
      <c r="AE16" s="65"/>
      <c r="AF16" s="65">
        <f t="shared" si="8"/>
        <v>0</v>
      </c>
      <c r="AG16" s="66"/>
      <c r="AH16" s="66"/>
      <c r="AI16" s="66">
        <f t="shared" si="9"/>
        <v>0</v>
      </c>
      <c r="AJ16" s="65"/>
      <c r="AK16" s="65"/>
      <c r="AL16" s="65">
        <f t="shared" si="10"/>
        <v>0</v>
      </c>
      <c r="AM16" s="66"/>
      <c r="AN16" s="66"/>
      <c r="AO16" s="66">
        <f t="shared" si="15"/>
        <v>0</v>
      </c>
    </row>
    <row r="17" spans="1:41" s="58" customFormat="1" ht="17.25" customHeight="1" x14ac:dyDescent="0.2">
      <c r="A17" s="12" t="s">
        <v>181</v>
      </c>
      <c r="B17" s="13"/>
      <c r="C17" s="14">
        <f t="shared" si="13"/>
        <v>291464</v>
      </c>
      <c r="D17" s="14">
        <v>32000</v>
      </c>
      <c r="E17" s="3"/>
      <c r="F17" s="132">
        <v>0</v>
      </c>
      <c r="G17" s="65"/>
      <c r="H17" s="65">
        <f t="shared" si="0"/>
        <v>0</v>
      </c>
      <c r="I17" s="132">
        <v>0</v>
      </c>
      <c r="J17" s="66"/>
      <c r="K17" s="66">
        <f t="shared" si="1"/>
        <v>0</v>
      </c>
      <c r="L17" s="132"/>
      <c r="M17" s="65"/>
      <c r="N17" s="65">
        <f t="shared" si="2"/>
        <v>0</v>
      </c>
      <c r="O17" s="132">
        <v>0</v>
      </c>
      <c r="P17" s="66"/>
      <c r="Q17" s="66">
        <f t="shared" si="3"/>
        <v>0</v>
      </c>
      <c r="R17" s="132">
        <v>291464</v>
      </c>
      <c r="S17" s="65"/>
      <c r="T17" s="65">
        <f t="shared" si="4"/>
        <v>291464</v>
      </c>
      <c r="U17" s="132"/>
      <c r="V17" s="66"/>
      <c r="W17" s="66">
        <f t="shared" si="5"/>
        <v>0</v>
      </c>
      <c r="X17" s="132"/>
      <c r="Y17" s="65"/>
      <c r="Z17" s="65">
        <f t="shared" si="6"/>
        <v>0</v>
      </c>
      <c r="AA17" s="132"/>
      <c r="AB17" s="66"/>
      <c r="AC17" s="66">
        <f t="shared" si="7"/>
        <v>0</v>
      </c>
      <c r="AD17" s="65"/>
      <c r="AE17" s="65"/>
      <c r="AF17" s="65">
        <f t="shared" si="8"/>
        <v>0</v>
      </c>
      <c r="AG17" s="66"/>
      <c r="AH17" s="66"/>
      <c r="AI17" s="66">
        <f t="shared" si="9"/>
        <v>0</v>
      </c>
      <c r="AJ17" s="65"/>
      <c r="AK17" s="65"/>
      <c r="AL17" s="65">
        <f t="shared" si="10"/>
        <v>0</v>
      </c>
      <c r="AM17" s="66"/>
      <c r="AN17" s="66"/>
      <c r="AO17" s="66">
        <f t="shared" si="15"/>
        <v>0</v>
      </c>
    </row>
    <row r="18" spans="1:41" s="58" customFormat="1" ht="17.25" customHeight="1" x14ac:dyDescent="0.2">
      <c r="A18" s="64" t="s">
        <v>56</v>
      </c>
      <c r="B18" s="13"/>
      <c r="C18" s="14">
        <f t="shared" si="13"/>
        <v>55000</v>
      </c>
      <c r="D18" s="14">
        <v>70000</v>
      </c>
      <c r="E18" s="3"/>
      <c r="F18" s="132">
        <v>55000</v>
      </c>
      <c r="G18" s="65"/>
      <c r="H18" s="65">
        <f t="shared" si="0"/>
        <v>55000</v>
      </c>
      <c r="I18" s="132"/>
      <c r="J18" s="66"/>
      <c r="K18" s="66">
        <f t="shared" si="1"/>
        <v>0</v>
      </c>
      <c r="L18" s="132"/>
      <c r="M18" s="65"/>
      <c r="N18" s="65">
        <f t="shared" si="2"/>
        <v>0</v>
      </c>
      <c r="O18" s="132"/>
      <c r="P18" s="66"/>
      <c r="Q18" s="66">
        <f t="shared" si="3"/>
        <v>0</v>
      </c>
      <c r="R18" s="132"/>
      <c r="S18" s="65"/>
      <c r="T18" s="65">
        <f t="shared" si="4"/>
        <v>0</v>
      </c>
      <c r="U18" s="132"/>
      <c r="V18" s="66"/>
      <c r="W18" s="66">
        <f t="shared" si="5"/>
        <v>0</v>
      </c>
      <c r="X18" s="132"/>
      <c r="Y18" s="65"/>
      <c r="Z18" s="65">
        <f t="shared" si="6"/>
        <v>0</v>
      </c>
      <c r="AA18" s="132"/>
      <c r="AB18" s="66"/>
      <c r="AC18" s="66">
        <f t="shared" si="7"/>
        <v>0</v>
      </c>
      <c r="AD18" s="65"/>
      <c r="AE18" s="65"/>
      <c r="AF18" s="65">
        <f t="shared" si="8"/>
        <v>0</v>
      </c>
      <c r="AG18" s="66"/>
      <c r="AH18" s="66"/>
      <c r="AI18" s="66">
        <f t="shared" si="9"/>
        <v>0</v>
      </c>
      <c r="AJ18" s="65"/>
      <c r="AK18" s="65"/>
      <c r="AL18" s="65">
        <f t="shared" si="10"/>
        <v>0</v>
      </c>
      <c r="AM18" s="66"/>
      <c r="AN18" s="66"/>
      <c r="AO18" s="66">
        <f t="shared" si="15"/>
        <v>0</v>
      </c>
    </row>
    <row r="19" spans="1:41" s="58" customFormat="1" ht="17.25" customHeight="1" x14ac:dyDescent="0.2">
      <c r="A19" s="12" t="s">
        <v>162</v>
      </c>
      <c r="B19" s="13"/>
      <c r="C19" s="14">
        <f t="shared" si="13"/>
        <v>112441</v>
      </c>
      <c r="D19" s="14">
        <v>70000</v>
      </c>
      <c r="E19" s="3"/>
      <c r="F19" s="132">
        <v>112441</v>
      </c>
      <c r="G19" s="65"/>
      <c r="H19" s="65">
        <f t="shared" si="0"/>
        <v>112441</v>
      </c>
      <c r="I19" s="132"/>
      <c r="J19" s="66"/>
      <c r="K19" s="66">
        <f t="shared" si="1"/>
        <v>0</v>
      </c>
      <c r="L19" s="132"/>
      <c r="M19" s="65"/>
      <c r="N19" s="65">
        <f t="shared" si="2"/>
        <v>0</v>
      </c>
      <c r="O19" s="132"/>
      <c r="P19" s="66"/>
      <c r="Q19" s="66">
        <f t="shared" si="3"/>
        <v>0</v>
      </c>
      <c r="R19" s="132"/>
      <c r="S19" s="65"/>
      <c r="T19" s="65">
        <f t="shared" si="4"/>
        <v>0</v>
      </c>
      <c r="U19" s="132"/>
      <c r="V19" s="66"/>
      <c r="W19" s="66">
        <f t="shared" si="5"/>
        <v>0</v>
      </c>
      <c r="X19" s="132"/>
      <c r="Y19" s="65"/>
      <c r="Z19" s="65">
        <f t="shared" si="6"/>
        <v>0</v>
      </c>
      <c r="AA19" s="132"/>
      <c r="AB19" s="66"/>
      <c r="AC19" s="66">
        <f t="shared" si="7"/>
        <v>0</v>
      </c>
      <c r="AD19" s="65"/>
      <c r="AE19" s="65"/>
      <c r="AF19" s="65">
        <f t="shared" si="8"/>
        <v>0</v>
      </c>
      <c r="AG19" s="66"/>
      <c r="AH19" s="66"/>
      <c r="AI19" s="66">
        <f t="shared" si="9"/>
        <v>0</v>
      </c>
      <c r="AJ19" s="65"/>
      <c r="AK19" s="65"/>
      <c r="AL19" s="65">
        <f t="shared" si="10"/>
        <v>0</v>
      </c>
      <c r="AM19" s="66"/>
      <c r="AN19" s="66"/>
      <c r="AO19" s="66">
        <f t="shared" si="15"/>
        <v>0</v>
      </c>
    </row>
    <row r="20" spans="1:41" s="58" customFormat="1" ht="17.25" customHeight="1" x14ac:dyDescent="0.2">
      <c r="A20" s="12" t="s">
        <v>124</v>
      </c>
      <c r="B20" s="13"/>
      <c r="C20" s="14">
        <f t="shared" si="13"/>
        <v>192471</v>
      </c>
      <c r="D20" s="14"/>
      <c r="E20" s="3"/>
      <c r="F20" s="132">
        <v>192471</v>
      </c>
      <c r="G20" s="65"/>
      <c r="H20" s="65">
        <f t="shared" si="0"/>
        <v>192471</v>
      </c>
      <c r="I20" s="132"/>
      <c r="J20" s="66"/>
      <c r="K20" s="66">
        <f t="shared" si="1"/>
        <v>0</v>
      </c>
      <c r="L20" s="132"/>
      <c r="M20" s="65"/>
      <c r="N20" s="65">
        <f t="shared" si="2"/>
        <v>0</v>
      </c>
      <c r="O20" s="132"/>
      <c r="P20" s="66"/>
      <c r="Q20" s="66">
        <f t="shared" si="3"/>
        <v>0</v>
      </c>
      <c r="R20" s="132"/>
      <c r="S20" s="65"/>
      <c r="T20" s="65">
        <f t="shared" si="4"/>
        <v>0</v>
      </c>
      <c r="U20" s="132"/>
      <c r="V20" s="66"/>
      <c r="W20" s="66">
        <f t="shared" si="5"/>
        <v>0</v>
      </c>
      <c r="X20" s="132"/>
      <c r="Y20" s="65"/>
      <c r="Z20" s="65">
        <f t="shared" si="6"/>
        <v>0</v>
      </c>
      <c r="AA20" s="132"/>
      <c r="AB20" s="66"/>
      <c r="AC20" s="66">
        <f t="shared" si="7"/>
        <v>0</v>
      </c>
      <c r="AD20" s="65"/>
      <c r="AE20" s="65"/>
      <c r="AF20" s="65">
        <f t="shared" si="8"/>
        <v>0</v>
      </c>
      <c r="AG20" s="66"/>
      <c r="AH20" s="66"/>
      <c r="AI20" s="66">
        <f t="shared" si="9"/>
        <v>0</v>
      </c>
      <c r="AJ20" s="65"/>
      <c r="AK20" s="65"/>
      <c r="AL20" s="65">
        <f t="shared" si="10"/>
        <v>0</v>
      </c>
      <c r="AM20" s="66"/>
      <c r="AN20" s="66"/>
      <c r="AO20" s="66">
        <f t="shared" si="15"/>
        <v>0</v>
      </c>
    </row>
    <row r="21" spans="1:41" s="58" customFormat="1" ht="17.25" customHeight="1" x14ac:dyDescent="0.2">
      <c r="A21" s="64" t="s">
        <v>55</v>
      </c>
      <c r="B21" s="13"/>
      <c r="C21" s="14">
        <f t="shared" si="13"/>
        <v>143038</v>
      </c>
      <c r="D21" s="14">
        <v>20000</v>
      </c>
      <c r="E21" s="3"/>
      <c r="F21" s="132">
        <v>34500</v>
      </c>
      <c r="G21" s="65"/>
      <c r="H21" s="65">
        <f t="shared" si="0"/>
        <v>34500</v>
      </c>
      <c r="I21" s="132">
        <v>57538</v>
      </c>
      <c r="J21" s="66"/>
      <c r="K21" s="66">
        <f t="shared" si="1"/>
        <v>57538</v>
      </c>
      <c r="L21" s="132"/>
      <c r="M21" s="65"/>
      <c r="N21" s="65">
        <f t="shared" si="2"/>
        <v>0</v>
      </c>
      <c r="O21" s="133">
        <v>0</v>
      </c>
      <c r="P21" s="66"/>
      <c r="Q21" s="66">
        <f t="shared" si="3"/>
        <v>0</v>
      </c>
      <c r="R21" s="132">
        <v>0</v>
      </c>
      <c r="S21" s="65"/>
      <c r="T21" s="65">
        <f t="shared" si="4"/>
        <v>0</v>
      </c>
      <c r="U21" s="132">
        <v>0</v>
      </c>
      <c r="V21" s="66"/>
      <c r="W21" s="66">
        <f t="shared" si="5"/>
        <v>0</v>
      </c>
      <c r="X21" s="132">
        <v>51000</v>
      </c>
      <c r="Y21" s="65"/>
      <c r="Z21" s="65">
        <f t="shared" si="6"/>
        <v>51000</v>
      </c>
      <c r="AA21" s="132"/>
      <c r="AB21" s="66"/>
      <c r="AC21" s="66">
        <f t="shared" si="7"/>
        <v>0</v>
      </c>
      <c r="AD21" s="65"/>
      <c r="AE21" s="65"/>
      <c r="AF21" s="65">
        <f t="shared" si="8"/>
        <v>0</v>
      </c>
      <c r="AG21" s="66"/>
      <c r="AH21" s="66"/>
      <c r="AI21" s="66">
        <f t="shared" si="9"/>
        <v>0</v>
      </c>
      <c r="AJ21" s="65"/>
      <c r="AK21" s="65"/>
      <c r="AL21" s="65">
        <f t="shared" si="10"/>
        <v>0</v>
      </c>
      <c r="AM21" s="66"/>
      <c r="AN21" s="66"/>
      <c r="AO21" s="66">
        <f t="shared" si="15"/>
        <v>0</v>
      </c>
    </row>
    <row r="22" spans="1:41" s="58" customFormat="1" ht="17.25" x14ac:dyDescent="0.3">
      <c r="A22" s="4" t="s">
        <v>5</v>
      </c>
      <c r="B22" s="16"/>
      <c r="C22" s="17">
        <f>SUM(C7:C21)</f>
        <v>2388680</v>
      </c>
      <c r="D22" s="17">
        <f>SUM(D7:D21)</f>
        <v>380000</v>
      </c>
      <c r="E22" s="3"/>
      <c r="F22" s="67">
        <f t="shared" ref="F22:AO22" si="16">SUM(F7:F21)</f>
        <v>1413070</v>
      </c>
      <c r="G22" s="67">
        <f t="shared" si="16"/>
        <v>-100000</v>
      </c>
      <c r="H22" s="67">
        <f t="shared" si="16"/>
        <v>1313070</v>
      </c>
      <c r="I22" s="67">
        <f t="shared" si="16"/>
        <v>314171</v>
      </c>
      <c r="J22" s="67">
        <f t="shared" si="16"/>
        <v>-43845</v>
      </c>
      <c r="K22" s="67">
        <f t="shared" si="16"/>
        <v>270326</v>
      </c>
      <c r="L22" s="67">
        <f t="shared" si="16"/>
        <v>0</v>
      </c>
      <c r="M22" s="67">
        <f t="shared" si="16"/>
        <v>0</v>
      </c>
      <c r="N22" s="67">
        <f t="shared" si="16"/>
        <v>0</v>
      </c>
      <c r="O22" s="67">
        <f t="shared" si="16"/>
        <v>569909</v>
      </c>
      <c r="P22" s="67">
        <f t="shared" si="16"/>
        <v>-202360</v>
      </c>
      <c r="Q22" s="67">
        <f t="shared" si="16"/>
        <v>367549</v>
      </c>
      <c r="R22" s="67">
        <f t="shared" si="16"/>
        <v>348405</v>
      </c>
      <c r="S22" s="67">
        <f t="shared" si="16"/>
        <v>0</v>
      </c>
      <c r="T22" s="67">
        <f t="shared" si="16"/>
        <v>348405</v>
      </c>
      <c r="U22" s="67">
        <f t="shared" si="16"/>
        <v>27752</v>
      </c>
      <c r="V22" s="67">
        <f t="shared" si="16"/>
        <v>-12460</v>
      </c>
      <c r="W22" s="67">
        <f t="shared" si="16"/>
        <v>15292</v>
      </c>
      <c r="X22" s="67">
        <f t="shared" si="16"/>
        <v>51000</v>
      </c>
      <c r="Y22" s="67">
        <f t="shared" si="16"/>
        <v>0</v>
      </c>
      <c r="Z22" s="67">
        <f t="shared" si="16"/>
        <v>51000</v>
      </c>
      <c r="AA22" s="67">
        <f t="shared" si="16"/>
        <v>18238</v>
      </c>
      <c r="AB22" s="67">
        <f t="shared" si="16"/>
        <v>0</v>
      </c>
      <c r="AC22" s="67">
        <f t="shared" si="16"/>
        <v>18238</v>
      </c>
      <c r="AD22" s="67">
        <f t="shared" si="16"/>
        <v>4800</v>
      </c>
      <c r="AE22" s="67">
        <f t="shared" si="16"/>
        <v>0</v>
      </c>
      <c r="AF22" s="67">
        <f t="shared" si="16"/>
        <v>4800</v>
      </c>
      <c r="AG22" s="67">
        <f t="shared" si="16"/>
        <v>0</v>
      </c>
      <c r="AH22" s="67">
        <f t="shared" si="16"/>
        <v>0</v>
      </c>
      <c r="AI22" s="67">
        <f t="shared" si="16"/>
        <v>0</v>
      </c>
      <c r="AJ22" s="67">
        <f t="shared" si="16"/>
        <v>0</v>
      </c>
      <c r="AK22" s="67">
        <f t="shared" si="16"/>
        <v>0</v>
      </c>
      <c r="AL22" s="67">
        <f t="shared" si="16"/>
        <v>0</v>
      </c>
      <c r="AM22" s="67">
        <f t="shared" si="16"/>
        <v>0</v>
      </c>
      <c r="AN22" s="67">
        <f t="shared" si="16"/>
        <v>0</v>
      </c>
      <c r="AO22" s="67">
        <f t="shared" si="16"/>
        <v>0</v>
      </c>
    </row>
    <row r="23" spans="1:41" s="58" customFormat="1" ht="21.95" customHeight="1" x14ac:dyDescent="0.3">
      <c r="A23" s="15"/>
      <c r="B23" s="16"/>
      <c r="C23" s="18"/>
      <c r="D23" s="18"/>
      <c r="E23" s="3"/>
      <c r="F23" s="65"/>
      <c r="G23" s="65"/>
      <c r="H23" s="65"/>
      <c r="I23" s="66"/>
      <c r="J23" s="66"/>
      <c r="K23" s="66"/>
      <c r="L23" s="65"/>
      <c r="M23" s="65"/>
      <c r="N23" s="65"/>
      <c r="O23" s="66"/>
      <c r="P23" s="66"/>
      <c r="Q23" s="66"/>
      <c r="R23" s="65"/>
      <c r="S23" s="65"/>
      <c r="T23" s="65"/>
      <c r="U23" s="66"/>
      <c r="V23" s="66"/>
      <c r="W23" s="66"/>
      <c r="X23" s="65"/>
      <c r="Y23" s="65"/>
      <c r="Z23" s="65"/>
      <c r="AA23" s="66"/>
      <c r="AB23" s="66"/>
      <c r="AC23" s="66"/>
      <c r="AD23" s="65"/>
      <c r="AE23" s="65"/>
      <c r="AF23" s="65"/>
      <c r="AG23" s="66"/>
      <c r="AH23" s="66"/>
      <c r="AI23" s="66"/>
      <c r="AJ23" s="65"/>
      <c r="AK23" s="65"/>
      <c r="AL23" s="65"/>
      <c r="AM23" s="66"/>
      <c r="AN23" s="66"/>
      <c r="AO23" s="66"/>
    </row>
    <row r="24" spans="1:41" s="58" customFormat="1" ht="17.25" x14ac:dyDescent="0.3">
      <c r="A24" s="4" t="s">
        <v>6</v>
      </c>
      <c r="B24" s="16"/>
      <c r="C24" s="19"/>
      <c r="D24" s="19"/>
      <c r="E24" s="3"/>
      <c r="F24" s="65"/>
      <c r="G24" s="65"/>
      <c r="H24" s="65"/>
      <c r="I24" s="66"/>
      <c r="J24" s="66"/>
      <c r="K24" s="66"/>
      <c r="L24" s="65"/>
      <c r="M24" s="65"/>
      <c r="N24" s="65"/>
      <c r="O24" s="66"/>
      <c r="P24" s="66"/>
      <c r="Q24" s="66"/>
      <c r="R24" s="65"/>
      <c r="S24" s="65"/>
      <c r="T24" s="65"/>
      <c r="U24" s="66"/>
      <c r="V24" s="66"/>
      <c r="W24" s="66"/>
      <c r="X24" s="65"/>
      <c r="Y24" s="65"/>
      <c r="Z24" s="65"/>
      <c r="AA24" s="66"/>
      <c r="AB24" s="66"/>
      <c r="AC24" s="66"/>
      <c r="AD24" s="65"/>
      <c r="AE24" s="65"/>
      <c r="AF24" s="65"/>
      <c r="AG24" s="66"/>
      <c r="AH24" s="66"/>
      <c r="AI24" s="66"/>
      <c r="AJ24" s="65"/>
      <c r="AK24" s="65"/>
      <c r="AL24" s="65"/>
      <c r="AM24" s="66"/>
      <c r="AN24" s="66"/>
      <c r="AO24" s="66"/>
    </row>
    <row r="25" spans="1:41" s="58" customFormat="1" ht="9.9499999999999993" customHeight="1" x14ac:dyDescent="0.3">
      <c r="A25" s="15"/>
      <c r="B25" s="16"/>
      <c r="C25" s="19"/>
      <c r="D25" s="19"/>
      <c r="E25" s="3"/>
      <c r="F25" s="65"/>
      <c r="G25" s="65"/>
      <c r="H25" s="65"/>
      <c r="I25" s="66"/>
      <c r="J25" s="66"/>
      <c r="K25" s="66"/>
      <c r="L25" s="65"/>
      <c r="M25" s="65"/>
      <c r="N25" s="65"/>
      <c r="O25" s="66"/>
      <c r="P25" s="66"/>
      <c r="Q25" s="66"/>
      <c r="R25" s="65"/>
      <c r="S25" s="65"/>
      <c r="T25" s="65"/>
      <c r="U25" s="66"/>
      <c r="V25" s="66"/>
      <c r="W25" s="66"/>
      <c r="X25" s="65"/>
      <c r="Y25" s="65"/>
      <c r="Z25" s="65"/>
      <c r="AA25" s="66"/>
      <c r="AB25" s="66"/>
      <c r="AC25" s="66"/>
      <c r="AD25" s="65"/>
      <c r="AE25" s="65"/>
      <c r="AF25" s="65"/>
      <c r="AG25" s="66"/>
      <c r="AH25" s="66"/>
      <c r="AI25" s="66"/>
      <c r="AJ25" s="65"/>
      <c r="AK25" s="65"/>
      <c r="AL25" s="65"/>
      <c r="AM25" s="66"/>
      <c r="AN25" s="66"/>
      <c r="AO25" s="66"/>
    </row>
    <row r="26" spans="1:41" s="58" customFormat="1" ht="16.5" customHeight="1" x14ac:dyDescent="0.3">
      <c r="A26" s="68" t="s">
        <v>89</v>
      </c>
      <c r="B26" s="16"/>
      <c r="C26" s="14">
        <f>H26+K26+N26+Q26+T26+W26+Z26+AC26+AF26+AI26+AL26+AO26</f>
        <v>80237</v>
      </c>
      <c r="D26" s="19"/>
      <c r="E26" s="3"/>
      <c r="F26" s="132">
        <v>0</v>
      </c>
      <c r="G26" s="65"/>
      <c r="H26" s="65">
        <f t="shared" si="0"/>
        <v>0</v>
      </c>
      <c r="I26" s="132">
        <v>17644</v>
      </c>
      <c r="J26" s="66"/>
      <c r="K26" s="66">
        <f t="shared" si="1"/>
        <v>17644</v>
      </c>
      <c r="L26" s="132"/>
      <c r="M26" s="65"/>
      <c r="N26" s="65">
        <f t="shared" si="2"/>
        <v>0</v>
      </c>
      <c r="O26" s="132">
        <v>48906</v>
      </c>
      <c r="P26" s="66"/>
      <c r="Q26" s="66">
        <f t="shared" si="3"/>
        <v>48906</v>
      </c>
      <c r="R26" s="132">
        <v>13687</v>
      </c>
      <c r="S26" s="65"/>
      <c r="T26" s="65">
        <f t="shared" si="4"/>
        <v>13687</v>
      </c>
      <c r="U26" s="132">
        <v>0</v>
      </c>
      <c r="V26" s="66"/>
      <c r="W26" s="66">
        <f t="shared" si="5"/>
        <v>0</v>
      </c>
      <c r="X26" s="132"/>
      <c r="Y26" s="65"/>
      <c r="Z26" s="65">
        <f t="shared" si="6"/>
        <v>0</v>
      </c>
      <c r="AA26" s="132"/>
      <c r="AB26" s="66"/>
      <c r="AC26" s="66">
        <f t="shared" si="7"/>
        <v>0</v>
      </c>
      <c r="AD26" s="65"/>
      <c r="AE26" s="65"/>
      <c r="AF26" s="65">
        <f t="shared" si="8"/>
        <v>0</v>
      </c>
      <c r="AG26" s="66"/>
      <c r="AH26" s="66"/>
      <c r="AI26" s="66">
        <f t="shared" si="9"/>
        <v>0</v>
      </c>
      <c r="AJ26" s="65"/>
      <c r="AK26" s="65"/>
      <c r="AL26" s="65">
        <f t="shared" si="10"/>
        <v>0</v>
      </c>
      <c r="AM26" s="66"/>
      <c r="AN26" s="66"/>
      <c r="AO26" s="66">
        <f t="shared" ref="AO26:AO30" si="17">AM26+AN26</f>
        <v>0</v>
      </c>
    </row>
    <row r="27" spans="1:41" s="58" customFormat="1" ht="16.5" customHeight="1" x14ac:dyDescent="0.3">
      <c r="A27" s="68" t="s">
        <v>60</v>
      </c>
      <c r="B27" s="16"/>
      <c r="C27" s="14">
        <f>H27+K27+N27+Q27+T27+W27+Z27+AC27+AF27+AI27+AL27+AO27</f>
        <v>664579</v>
      </c>
      <c r="D27" s="19">
        <v>35000</v>
      </c>
      <c r="E27" s="3"/>
      <c r="F27" s="132">
        <v>436513</v>
      </c>
      <c r="G27" s="65"/>
      <c r="H27" s="65">
        <f t="shared" si="0"/>
        <v>436513</v>
      </c>
      <c r="I27" s="132">
        <v>32495</v>
      </c>
      <c r="J27" s="66"/>
      <c r="K27" s="66">
        <f t="shared" si="1"/>
        <v>32495</v>
      </c>
      <c r="L27" s="132">
        <v>0</v>
      </c>
      <c r="M27" s="65"/>
      <c r="N27" s="65">
        <f t="shared" si="2"/>
        <v>0</v>
      </c>
      <c r="O27" s="132">
        <v>180871</v>
      </c>
      <c r="P27" s="66"/>
      <c r="Q27" s="66">
        <f t="shared" si="3"/>
        <v>180871</v>
      </c>
      <c r="R27" s="132">
        <v>11700</v>
      </c>
      <c r="S27" s="65"/>
      <c r="T27" s="65">
        <f t="shared" si="4"/>
        <v>11700</v>
      </c>
      <c r="U27" s="132"/>
      <c r="V27" s="66"/>
      <c r="W27" s="66">
        <f t="shared" si="5"/>
        <v>0</v>
      </c>
      <c r="X27" s="132">
        <v>0</v>
      </c>
      <c r="Y27" s="65"/>
      <c r="Z27" s="65">
        <f t="shared" si="6"/>
        <v>0</v>
      </c>
      <c r="AA27" s="132">
        <v>3000</v>
      </c>
      <c r="AB27" s="66"/>
      <c r="AC27" s="66">
        <f t="shared" si="7"/>
        <v>3000</v>
      </c>
      <c r="AD27" s="65"/>
      <c r="AE27" s="65"/>
      <c r="AF27" s="65">
        <f t="shared" si="8"/>
        <v>0</v>
      </c>
      <c r="AG27" s="66"/>
      <c r="AH27" s="66"/>
      <c r="AI27" s="66">
        <f t="shared" si="9"/>
        <v>0</v>
      </c>
      <c r="AJ27" s="65"/>
      <c r="AK27" s="65"/>
      <c r="AL27" s="65">
        <f t="shared" si="10"/>
        <v>0</v>
      </c>
      <c r="AM27" s="66"/>
      <c r="AN27" s="66"/>
      <c r="AO27" s="66">
        <f t="shared" si="17"/>
        <v>0</v>
      </c>
    </row>
    <row r="28" spans="1:41" s="58" customFormat="1" ht="16.5" customHeight="1" x14ac:dyDescent="0.3">
      <c r="A28" s="68" t="s">
        <v>62</v>
      </c>
      <c r="B28" s="16"/>
      <c r="C28" s="14">
        <f>H28+K28+N28+Q28+T28+W28+Z28+AC28+AF28+AI28+AL28+AO28</f>
        <v>170306</v>
      </c>
      <c r="D28" s="19">
        <v>0</v>
      </c>
      <c r="E28" s="3"/>
      <c r="F28" s="132">
        <v>150381</v>
      </c>
      <c r="G28" s="65"/>
      <c r="H28" s="65">
        <f t="shared" si="0"/>
        <v>150381</v>
      </c>
      <c r="I28" s="132"/>
      <c r="J28" s="66"/>
      <c r="K28" s="66">
        <f t="shared" si="1"/>
        <v>0</v>
      </c>
      <c r="L28" s="132"/>
      <c r="M28" s="65"/>
      <c r="N28" s="65">
        <f t="shared" si="2"/>
        <v>0</v>
      </c>
      <c r="O28" s="132">
        <v>13825</v>
      </c>
      <c r="P28" s="66"/>
      <c r="Q28" s="66">
        <f t="shared" si="3"/>
        <v>13825</v>
      </c>
      <c r="R28" s="132">
        <v>6100</v>
      </c>
      <c r="S28" s="65"/>
      <c r="T28" s="65">
        <f t="shared" si="4"/>
        <v>6100</v>
      </c>
      <c r="U28" s="132"/>
      <c r="V28" s="66"/>
      <c r="W28" s="66">
        <f t="shared" si="5"/>
        <v>0</v>
      </c>
      <c r="X28" s="132"/>
      <c r="Y28" s="65"/>
      <c r="Z28" s="65">
        <f t="shared" si="6"/>
        <v>0</v>
      </c>
      <c r="AA28" s="132"/>
      <c r="AB28" s="66"/>
      <c r="AC28" s="66">
        <f t="shared" si="7"/>
        <v>0</v>
      </c>
      <c r="AD28" s="65"/>
      <c r="AE28" s="65"/>
      <c r="AF28" s="65">
        <f t="shared" si="8"/>
        <v>0</v>
      </c>
      <c r="AG28" s="66"/>
      <c r="AH28" s="66"/>
      <c r="AI28" s="66">
        <f t="shared" si="9"/>
        <v>0</v>
      </c>
      <c r="AJ28" s="65"/>
      <c r="AK28" s="65"/>
      <c r="AL28" s="65">
        <f t="shared" si="10"/>
        <v>0</v>
      </c>
      <c r="AM28" s="66"/>
      <c r="AN28" s="66"/>
      <c r="AO28" s="66">
        <f t="shared" si="17"/>
        <v>0</v>
      </c>
    </row>
    <row r="29" spans="1:41" s="58" customFormat="1" ht="16.5" customHeight="1" x14ac:dyDescent="0.3">
      <c r="A29" s="68" t="s">
        <v>61</v>
      </c>
      <c r="B29" s="16"/>
      <c r="C29" s="14">
        <f>H29+K29+N29+Q29+T29+W29+Z29+AC29+AF29+AI29+AL29+AO29</f>
        <v>72168</v>
      </c>
      <c r="D29" s="19">
        <v>45000</v>
      </c>
      <c r="E29" s="3"/>
      <c r="F29" s="132">
        <v>72168</v>
      </c>
      <c r="G29" s="65"/>
      <c r="H29" s="65">
        <f t="shared" si="0"/>
        <v>72168</v>
      </c>
      <c r="I29" s="132"/>
      <c r="J29" s="66"/>
      <c r="K29" s="66">
        <f t="shared" si="1"/>
        <v>0</v>
      </c>
      <c r="L29" s="132"/>
      <c r="M29" s="65"/>
      <c r="N29" s="65">
        <f t="shared" si="2"/>
        <v>0</v>
      </c>
      <c r="O29" s="132"/>
      <c r="P29" s="66"/>
      <c r="Q29" s="66">
        <f t="shared" si="3"/>
        <v>0</v>
      </c>
      <c r="R29" s="132"/>
      <c r="S29" s="65"/>
      <c r="T29" s="65">
        <f t="shared" si="4"/>
        <v>0</v>
      </c>
      <c r="U29" s="132"/>
      <c r="V29" s="66"/>
      <c r="W29" s="66">
        <f t="shared" si="5"/>
        <v>0</v>
      </c>
      <c r="X29" s="132"/>
      <c r="Y29" s="65"/>
      <c r="Z29" s="65">
        <f t="shared" si="6"/>
        <v>0</v>
      </c>
      <c r="AA29" s="132"/>
      <c r="AB29" s="66"/>
      <c r="AC29" s="66">
        <f t="shared" si="7"/>
        <v>0</v>
      </c>
      <c r="AD29" s="65"/>
      <c r="AE29" s="65"/>
      <c r="AF29" s="65">
        <f t="shared" si="8"/>
        <v>0</v>
      </c>
      <c r="AG29" s="66"/>
      <c r="AH29" s="66"/>
      <c r="AI29" s="66">
        <f t="shared" si="9"/>
        <v>0</v>
      </c>
      <c r="AJ29" s="65"/>
      <c r="AK29" s="65"/>
      <c r="AL29" s="65">
        <f t="shared" si="10"/>
        <v>0</v>
      </c>
      <c r="AM29" s="66"/>
      <c r="AN29" s="66"/>
      <c r="AO29" s="66">
        <f t="shared" si="17"/>
        <v>0</v>
      </c>
    </row>
    <row r="30" spans="1:41" s="58" customFormat="1" ht="17.25" x14ac:dyDescent="0.3">
      <c r="A30" s="68" t="s">
        <v>63</v>
      </c>
      <c r="B30" s="16"/>
      <c r="C30" s="14">
        <f>H30+K30+N30+Q30+T30+W30+Z30+AC30+AF30+AI30+AL30+AO30</f>
        <v>978799</v>
      </c>
      <c r="D30" s="19">
        <v>20000</v>
      </c>
      <c r="E30" s="3"/>
      <c r="F30" s="132">
        <f>427125+124640</f>
        <v>551765</v>
      </c>
      <c r="G30" s="120">
        <v>-124640</v>
      </c>
      <c r="H30" s="65">
        <f t="shared" si="0"/>
        <v>427125</v>
      </c>
      <c r="I30" s="132">
        <v>202743</v>
      </c>
      <c r="J30" s="66"/>
      <c r="K30" s="66">
        <f t="shared" si="1"/>
        <v>202743</v>
      </c>
      <c r="L30" s="132"/>
      <c r="M30" s="65"/>
      <c r="N30" s="65">
        <f t="shared" si="2"/>
        <v>0</v>
      </c>
      <c r="O30" s="132">
        <f>242712-1</f>
        <v>242711</v>
      </c>
      <c r="P30" s="120">
        <v>0</v>
      </c>
      <c r="Q30" s="66">
        <f t="shared" si="3"/>
        <v>242711</v>
      </c>
      <c r="R30" s="132">
        <v>29768</v>
      </c>
      <c r="S30" s="120"/>
      <c r="T30" s="65">
        <f t="shared" si="4"/>
        <v>29768</v>
      </c>
      <c r="U30" s="132">
        <v>26325</v>
      </c>
      <c r="V30" s="66"/>
      <c r="W30" s="66">
        <f t="shared" si="5"/>
        <v>26325</v>
      </c>
      <c r="X30" s="132">
        <v>37584</v>
      </c>
      <c r="Y30" s="65"/>
      <c r="Z30" s="65">
        <f t="shared" si="6"/>
        <v>37584</v>
      </c>
      <c r="AA30" s="132">
        <v>8287</v>
      </c>
      <c r="AB30" s="66"/>
      <c r="AC30" s="66">
        <f t="shared" si="7"/>
        <v>8287</v>
      </c>
      <c r="AD30" s="65">
        <v>4256</v>
      </c>
      <c r="AE30" s="120"/>
      <c r="AF30" s="65">
        <f t="shared" si="8"/>
        <v>4256</v>
      </c>
      <c r="AG30" s="66"/>
      <c r="AH30" s="66"/>
      <c r="AI30" s="66">
        <f t="shared" si="9"/>
        <v>0</v>
      </c>
      <c r="AJ30" s="65"/>
      <c r="AK30" s="65"/>
      <c r="AL30" s="65">
        <f t="shared" si="10"/>
        <v>0</v>
      </c>
      <c r="AM30" s="66"/>
      <c r="AN30" s="66"/>
      <c r="AO30" s="66">
        <f t="shared" si="17"/>
        <v>0</v>
      </c>
    </row>
    <row r="31" spans="1:41" s="58" customFormat="1" ht="17.25" x14ac:dyDescent="0.3">
      <c r="A31" s="4" t="s">
        <v>7</v>
      </c>
      <c r="B31" s="16"/>
      <c r="C31" s="17">
        <f>SUM(C26:C30)</f>
        <v>1966089</v>
      </c>
      <c r="D31" s="17">
        <f>SUM(D27:D30)</f>
        <v>100000</v>
      </c>
      <c r="E31" s="3"/>
      <c r="F31" s="17">
        <f t="shared" ref="F31:AO31" si="18">SUM(F26:F30)</f>
        <v>1210827</v>
      </c>
      <c r="G31" s="17">
        <f t="shared" si="18"/>
        <v>-124640</v>
      </c>
      <c r="H31" s="17">
        <f t="shared" si="18"/>
        <v>1086187</v>
      </c>
      <c r="I31" s="17">
        <f t="shared" si="18"/>
        <v>252882</v>
      </c>
      <c r="J31" s="17">
        <f t="shared" si="18"/>
        <v>0</v>
      </c>
      <c r="K31" s="17">
        <f t="shared" si="18"/>
        <v>252882</v>
      </c>
      <c r="L31" s="17">
        <f t="shared" si="18"/>
        <v>0</v>
      </c>
      <c r="M31" s="17">
        <f t="shared" si="18"/>
        <v>0</v>
      </c>
      <c r="N31" s="17">
        <f t="shared" si="18"/>
        <v>0</v>
      </c>
      <c r="O31" s="17">
        <f t="shared" si="18"/>
        <v>486313</v>
      </c>
      <c r="P31" s="17">
        <f t="shared" si="18"/>
        <v>0</v>
      </c>
      <c r="Q31" s="17">
        <f t="shared" si="18"/>
        <v>486313</v>
      </c>
      <c r="R31" s="17">
        <f t="shared" si="18"/>
        <v>61255</v>
      </c>
      <c r="S31" s="17">
        <f t="shared" si="18"/>
        <v>0</v>
      </c>
      <c r="T31" s="17">
        <f t="shared" si="18"/>
        <v>61255</v>
      </c>
      <c r="U31" s="17">
        <f t="shared" si="18"/>
        <v>26325</v>
      </c>
      <c r="V31" s="17">
        <f t="shared" si="18"/>
        <v>0</v>
      </c>
      <c r="W31" s="17">
        <f t="shared" si="18"/>
        <v>26325</v>
      </c>
      <c r="X31" s="17">
        <f t="shared" si="18"/>
        <v>37584</v>
      </c>
      <c r="Y31" s="17">
        <f t="shared" si="18"/>
        <v>0</v>
      </c>
      <c r="Z31" s="17">
        <f t="shared" si="18"/>
        <v>37584</v>
      </c>
      <c r="AA31" s="17">
        <f t="shared" si="18"/>
        <v>11287</v>
      </c>
      <c r="AB31" s="17">
        <f t="shared" si="18"/>
        <v>0</v>
      </c>
      <c r="AC31" s="17">
        <f t="shared" si="18"/>
        <v>11287</v>
      </c>
      <c r="AD31" s="17">
        <f t="shared" si="18"/>
        <v>4256</v>
      </c>
      <c r="AE31" s="17">
        <f t="shared" si="18"/>
        <v>0</v>
      </c>
      <c r="AF31" s="17">
        <f t="shared" si="18"/>
        <v>4256</v>
      </c>
      <c r="AG31" s="17">
        <f t="shared" si="18"/>
        <v>0</v>
      </c>
      <c r="AH31" s="17">
        <f t="shared" si="18"/>
        <v>0</v>
      </c>
      <c r="AI31" s="17">
        <f t="shared" si="18"/>
        <v>0</v>
      </c>
      <c r="AJ31" s="17">
        <f t="shared" si="18"/>
        <v>0</v>
      </c>
      <c r="AK31" s="17">
        <f t="shared" si="18"/>
        <v>0</v>
      </c>
      <c r="AL31" s="17">
        <f t="shared" si="18"/>
        <v>0</v>
      </c>
      <c r="AM31" s="17">
        <f t="shared" si="18"/>
        <v>0</v>
      </c>
      <c r="AN31" s="17">
        <f t="shared" si="18"/>
        <v>0</v>
      </c>
      <c r="AO31" s="17">
        <f t="shared" si="18"/>
        <v>0</v>
      </c>
    </row>
    <row r="32" spans="1:41" s="58" customFormat="1" ht="17.25" x14ac:dyDescent="0.3">
      <c r="A32" s="15"/>
      <c r="B32" s="16"/>
      <c r="C32" s="20"/>
      <c r="D32" s="20"/>
      <c r="E32" s="3"/>
      <c r="F32" s="65"/>
      <c r="G32" s="65"/>
      <c r="H32" s="65">
        <f t="shared" si="0"/>
        <v>0</v>
      </c>
      <c r="I32" s="66"/>
      <c r="J32" s="66"/>
      <c r="K32" s="66">
        <f t="shared" si="1"/>
        <v>0</v>
      </c>
      <c r="L32" s="65"/>
      <c r="M32" s="65"/>
      <c r="N32" s="65">
        <f t="shared" si="2"/>
        <v>0</v>
      </c>
      <c r="O32" s="66"/>
      <c r="P32" s="66"/>
      <c r="Q32" s="66">
        <f t="shared" si="3"/>
        <v>0</v>
      </c>
      <c r="R32" s="65"/>
      <c r="S32" s="65"/>
      <c r="T32" s="65">
        <f t="shared" si="4"/>
        <v>0</v>
      </c>
      <c r="U32" s="66"/>
      <c r="V32" s="66"/>
      <c r="W32" s="66">
        <f t="shared" si="5"/>
        <v>0</v>
      </c>
      <c r="X32" s="65"/>
      <c r="Y32" s="65"/>
      <c r="Z32" s="65">
        <f t="shared" si="6"/>
        <v>0</v>
      </c>
      <c r="AA32" s="66"/>
      <c r="AB32" s="66"/>
      <c r="AC32" s="66">
        <f t="shared" si="7"/>
        <v>0</v>
      </c>
      <c r="AD32" s="65"/>
      <c r="AE32" s="65"/>
      <c r="AF32" s="65">
        <f t="shared" si="8"/>
        <v>0</v>
      </c>
      <c r="AG32" s="66"/>
      <c r="AH32" s="66"/>
      <c r="AI32" s="66">
        <f t="shared" si="9"/>
        <v>0</v>
      </c>
      <c r="AJ32" s="65"/>
      <c r="AK32" s="65"/>
      <c r="AL32" s="65">
        <f t="shared" si="10"/>
        <v>0</v>
      </c>
      <c r="AM32" s="66"/>
      <c r="AN32" s="66"/>
      <c r="AO32" s="66">
        <f t="shared" ref="AO32" si="19">AM32+AN32</f>
        <v>0</v>
      </c>
    </row>
    <row r="33" spans="1:41" s="58" customFormat="1" ht="17.25" x14ac:dyDescent="0.3">
      <c r="A33" s="4" t="s">
        <v>8</v>
      </c>
      <c r="B33" s="16"/>
      <c r="C33" s="21">
        <f>C22-C31</f>
        <v>422591</v>
      </c>
      <c r="D33" s="21">
        <f>D22-D31</f>
        <v>280000</v>
      </c>
      <c r="E33" s="3"/>
      <c r="F33" s="21">
        <f t="shared" ref="F33:AO33" si="20">F22-F31</f>
        <v>202243</v>
      </c>
      <c r="G33" s="21">
        <f t="shared" si="20"/>
        <v>24640</v>
      </c>
      <c r="H33" s="21">
        <f t="shared" si="20"/>
        <v>226883</v>
      </c>
      <c r="I33" s="21">
        <f t="shared" si="20"/>
        <v>61289</v>
      </c>
      <c r="J33" s="21">
        <f t="shared" si="20"/>
        <v>-43845</v>
      </c>
      <c r="K33" s="21">
        <f t="shared" si="20"/>
        <v>17444</v>
      </c>
      <c r="L33" s="21">
        <f t="shared" si="20"/>
        <v>0</v>
      </c>
      <c r="M33" s="21">
        <f t="shared" si="20"/>
        <v>0</v>
      </c>
      <c r="N33" s="21">
        <f t="shared" si="20"/>
        <v>0</v>
      </c>
      <c r="O33" s="21">
        <f t="shared" si="20"/>
        <v>83596</v>
      </c>
      <c r="P33" s="21">
        <f t="shared" si="20"/>
        <v>-202360</v>
      </c>
      <c r="Q33" s="21">
        <f t="shared" si="20"/>
        <v>-118764</v>
      </c>
      <c r="R33" s="21">
        <f t="shared" si="20"/>
        <v>287150</v>
      </c>
      <c r="S33" s="21">
        <f t="shared" si="20"/>
        <v>0</v>
      </c>
      <c r="T33" s="21">
        <f t="shared" si="20"/>
        <v>287150</v>
      </c>
      <c r="U33" s="21">
        <f t="shared" si="20"/>
        <v>1427</v>
      </c>
      <c r="V33" s="21">
        <f t="shared" si="20"/>
        <v>-12460</v>
      </c>
      <c r="W33" s="21">
        <f t="shared" si="20"/>
        <v>-11033</v>
      </c>
      <c r="X33" s="21">
        <f t="shared" si="20"/>
        <v>13416</v>
      </c>
      <c r="Y33" s="21">
        <f t="shared" si="20"/>
        <v>0</v>
      </c>
      <c r="Z33" s="21">
        <f t="shared" si="20"/>
        <v>13416</v>
      </c>
      <c r="AA33" s="21">
        <f t="shared" si="20"/>
        <v>6951</v>
      </c>
      <c r="AB33" s="21">
        <f t="shared" si="20"/>
        <v>0</v>
      </c>
      <c r="AC33" s="21">
        <f t="shared" si="20"/>
        <v>6951</v>
      </c>
      <c r="AD33" s="21">
        <f t="shared" si="20"/>
        <v>544</v>
      </c>
      <c r="AE33" s="21">
        <f t="shared" si="20"/>
        <v>0</v>
      </c>
      <c r="AF33" s="21">
        <f t="shared" si="20"/>
        <v>544</v>
      </c>
      <c r="AG33" s="21">
        <f t="shared" si="20"/>
        <v>0</v>
      </c>
      <c r="AH33" s="21">
        <f t="shared" si="20"/>
        <v>0</v>
      </c>
      <c r="AI33" s="21">
        <f t="shared" si="20"/>
        <v>0</v>
      </c>
      <c r="AJ33" s="21">
        <f t="shared" si="20"/>
        <v>0</v>
      </c>
      <c r="AK33" s="21">
        <f t="shared" si="20"/>
        <v>0</v>
      </c>
      <c r="AL33" s="21">
        <f t="shared" si="20"/>
        <v>0</v>
      </c>
      <c r="AM33" s="21">
        <f t="shared" si="20"/>
        <v>0</v>
      </c>
      <c r="AN33" s="21">
        <f t="shared" si="20"/>
        <v>0</v>
      </c>
      <c r="AO33" s="21">
        <f t="shared" si="20"/>
        <v>0</v>
      </c>
    </row>
    <row r="34" spans="1:41" s="58" customFormat="1" ht="23.1" customHeight="1" x14ac:dyDescent="0.3">
      <c r="A34" s="22"/>
      <c r="B34" s="16"/>
      <c r="C34" s="18"/>
      <c r="D34" s="18"/>
      <c r="E34" s="3"/>
      <c r="F34" s="65"/>
      <c r="G34" s="65"/>
      <c r="H34" s="65"/>
      <c r="I34" s="66"/>
      <c r="J34" s="66"/>
      <c r="K34" s="66"/>
      <c r="L34" s="65"/>
      <c r="M34" s="65"/>
      <c r="N34" s="65"/>
      <c r="O34" s="66"/>
      <c r="P34" s="66"/>
      <c r="Q34" s="66"/>
      <c r="R34" s="65"/>
      <c r="S34" s="65"/>
      <c r="T34" s="65"/>
      <c r="U34" s="66"/>
      <c r="V34" s="66"/>
      <c r="W34" s="66"/>
      <c r="X34" s="65"/>
      <c r="Y34" s="65"/>
      <c r="Z34" s="65"/>
      <c r="AA34" s="66"/>
      <c r="AB34" s="66"/>
      <c r="AC34" s="66"/>
      <c r="AD34" s="65"/>
      <c r="AE34" s="65"/>
      <c r="AF34" s="65"/>
      <c r="AG34" s="66"/>
      <c r="AH34" s="66"/>
      <c r="AI34" s="66"/>
      <c r="AJ34" s="65"/>
      <c r="AK34" s="65"/>
      <c r="AL34" s="65"/>
      <c r="AM34" s="66"/>
      <c r="AN34" s="66"/>
      <c r="AO34" s="66"/>
    </row>
    <row r="35" spans="1:41" s="58" customFormat="1" ht="17.25" x14ac:dyDescent="0.3">
      <c r="A35" s="4" t="s">
        <v>9</v>
      </c>
      <c r="B35" s="16"/>
      <c r="C35" s="19"/>
      <c r="D35" s="19"/>
      <c r="E35" s="3"/>
      <c r="F35" s="65"/>
      <c r="G35" s="65"/>
      <c r="H35" s="65"/>
      <c r="I35" s="66"/>
      <c r="J35" s="66"/>
      <c r="K35" s="66"/>
      <c r="L35" s="65"/>
      <c r="M35" s="65"/>
      <c r="N35" s="65"/>
      <c r="O35" s="66"/>
      <c r="P35" s="66"/>
      <c r="Q35" s="66"/>
      <c r="R35" s="65"/>
      <c r="S35" s="65"/>
      <c r="T35" s="65"/>
      <c r="U35" s="66"/>
      <c r="V35" s="66"/>
      <c r="W35" s="66"/>
      <c r="X35" s="65"/>
      <c r="Y35" s="65"/>
      <c r="Z35" s="65"/>
      <c r="AA35" s="66"/>
      <c r="AB35" s="66"/>
      <c r="AC35" s="66"/>
      <c r="AD35" s="65"/>
      <c r="AE35" s="65"/>
      <c r="AF35" s="65"/>
      <c r="AG35" s="66"/>
      <c r="AH35" s="66"/>
      <c r="AI35" s="66"/>
      <c r="AJ35" s="65"/>
      <c r="AK35" s="65"/>
      <c r="AL35" s="65"/>
      <c r="AM35" s="66"/>
      <c r="AN35" s="66"/>
      <c r="AO35" s="66"/>
    </row>
    <row r="36" spans="1:41" s="58" customFormat="1" ht="9.9499999999999993" customHeight="1" x14ac:dyDescent="0.3">
      <c r="A36" s="4"/>
      <c r="B36" s="16"/>
      <c r="C36" s="19"/>
      <c r="D36" s="19"/>
      <c r="E36" s="3"/>
      <c r="F36" s="65"/>
      <c r="G36" s="65"/>
      <c r="H36" s="65"/>
      <c r="I36" s="66"/>
      <c r="J36" s="66"/>
      <c r="K36" s="66"/>
      <c r="L36" s="65"/>
      <c r="M36" s="65"/>
      <c r="N36" s="65"/>
      <c r="O36" s="66"/>
      <c r="P36" s="66"/>
      <c r="Q36" s="66"/>
      <c r="R36" s="65"/>
      <c r="S36" s="65"/>
      <c r="T36" s="65"/>
      <c r="U36" s="66"/>
      <c r="V36" s="66"/>
      <c r="W36" s="66"/>
      <c r="X36" s="65"/>
      <c r="Y36" s="65"/>
      <c r="Z36" s="65"/>
      <c r="AA36" s="66"/>
      <c r="AB36" s="66"/>
      <c r="AC36" s="66"/>
      <c r="AD36" s="65"/>
      <c r="AE36" s="65"/>
      <c r="AF36" s="65"/>
      <c r="AG36" s="66"/>
      <c r="AH36" s="66"/>
      <c r="AI36" s="66"/>
      <c r="AJ36" s="65"/>
      <c r="AK36" s="65"/>
      <c r="AL36" s="65"/>
      <c r="AM36" s="66"/>
      <c r="AN36" s="66"/>
      <c r="AO36" s="66"/>
    </row>
    <row r="37" spans="1:41" s="58" customFormat="1" ht="17.25" x14ac:dyDescent="0.3">
      <c r="A37" s="15" t="s">
        <v>10</v>
      </c>
      <c r="B37" s="16"/>
      <c r="C37" s="14">
        <f>H37+K37+N37+Q37+T37+W37+Z37+AC37+AF37+AI37+AL37+AO37</f>
        <v>1507</v>
      </c>
      <c r="D37" s="19">
        <v>0</v>
      </c>
      <c r="E37" s="3"/>
      <c r="F37" s="132">
        <v>35</v>
      </c>
      <c r="G37" s="65"/>
      <c r="H37" s="65">
        <f t="shared" si="0"/>
        <v>35</v>
      </c>
      <c r="I37" s="132">
        <v>159</v>
      </c>
      <c r="J37" s="66"/>
      <c r="K37" s="66">
        <f t="shared" si="1"/>
        <v>159</v>
      </c>
      <c r="L37" s="132">
        <v>0</v>
      </c>
      <c r="M37" s="65"/>
      <c r="N37" s="65">
        <f t="shared" si="2"/>
        <v>0</v>
      </c>
      <c r="O37" s="132">
        <v>130</v>
      </c>
      <c r="P37" s="66"/>
      <c r="Q37" s="66">
        <f t="shared" si="3"/>
        <v>130</v>
      </c>
      <c r="R37" s="132">
        <v>1074</v>
      </c>
      <c r="S37" s="65"/>
      <c r="T37" s="65">
        <f t="shared" si="4"/>
        <v>1074</v>
      </c>
      <c r="U37" s="132">
        <v>31</v>
      </c>
      <c r="V37" s="66"/>
      <c r="W37" s="66">
        <f t="shared" si="5"/>
        <v>31</v>
      </c>
      <c r="X37" s="132">
        <v>33</v>
      </c>
      <c r="Y37" s="65"/>
      <c r="Z37" s="65">
        <f t="shared" si="6"/>
        <v>33</v>
      </c>
      <c r="AA37" s="132">
        <v>41</v>
      </c>
      <c r="AB37" s="66"/>
      <c r="AC37" s="66">
        <f t="shared" si="7"/>
        <v>41</v>
      </c>
      <c r="AD37" s="65">
        <v>4</v>
      </c>
      <c r="AE37" s="65"/>
      <c r="AF37" s="65">
        <f t="shared" si="8"/>
        <v>4</v>
      </c>
      <c r="AG37" s="66"/>
      <c r="AH37" s="66"/>
      <c r="AI37" s="66">
        <f t="shared" si="9"/>
        <v>0</v>
      </c>
      <c r="AJ37" s="65"/>
      <c r="AK37" s="65"/>
      <c r="AL37" s="65">
        <f t="shared" si="10"/>
        <v>0</v>
      </c>
      <c r="AM37" s="66"/>
      <c r="AN37" s="66"/>
      <c r="AO37" s="66">
        <f t="shared" ref="AO37:AO39" si="21">AM37+AN37</f>
        <v>0</v>
      </c>
    </row>
    <row r="38" spans="1:41" s="58" customFormat="1" ht="17.25" x14ac:dyDescent="0.3">
      <c r="A38" s="68" t="s">
        <v>64</v>
      </c>
      <c r="B38" s="16"/>
      <c r="C38" s="14">
        <f>H38+K38+N38+Q38+T38+W38+Z38+AC38+AF38+AI38+AL38+AO38</f>
        <v>38</v>
      </c>
      <c r="D38" s="19"/>
      <c r="E38" s="3"/>
      <c r="F38" s="132">
        <v>38</v>
      </c>
      <c r="G38" s="65"/>
      <c r="H38" s="65">
        <f t="shared" si="0"/>
        <v>38</v>
      </c>
      <c r="I38" s="132">
        <v>0</v>
      </c>
      <c r="J38" s="66"/>
      <c r="K38" s="66">
        <f t="shared" si="1"/>
        <v>0</v>
      </c>
      <c r="L38" s="132"/>
      <c r="M38" s="65"/>
      <c r="N38" s="65">
        <f t="shared" si="2"/>
        <v>0</v>
      </c>
      <c r="O38" s="132">
        <v>0</v>
      </c>
      <c r="P38" s="66"/>
      <c r="Q38" s="66">
        <f t="shared" si="3"/>
        <v>0</v>
      </c>
      <c r="R38" s="132">
        <v>0</v>
      </c>
      <c r="S38" s="65"/>
      <c r="T38" s="65">
        <f t="shared" si="4"/>
        <v>0</v>
      </c>
      <c r="U38" s="132">
        <v>0</v>
      </c>
      <c r="V38" s="66"/>
      <c r="W38" s="66">
        <f t="shared" si="5"/>
        <v>0</v>
      </c>
      <c r="X38" s="132">
        <v>0</v>
      </c>
      <c r="Y38" s="65"/>
      <c r="Z38" s="65">
        <f t="shared" si="6"/>
        <v>0</v>
      </c>
      <c r="AA38" s="132"/>
      <c r="AB38" s="66"/>
      <c r="AC38" s="66">
        <f t="shared" si="7"/>
        <v>0</v>
      </c>
      <c r="AD38" s="65"/>
      <c r="AE38" s="65"/>
      <c r="AF38" s="65">
        <f t="shared" si="8"/>
        <v>0</v>
      </c>
      <c r="AG38" s="66"/>
      <c r="AH38" s="66"/>
      <c r="AI38" s="66">
        <f t="shared" si="9"/>
        <v>0</v>
      </c>
      <c r="AJ38" s="65"/>
      <c r="AK38" s="65"/>
      <c r="AL38" s="65">
        <f t="shared" si="10"/>
        <v>0</v>
      </c>
      <c r="AM38" s="66"/>
      <c r="AN38" s="66"/>
      <c r="AO38" s="66">
        <f t="shared" si="21"/>
        <v>0</v>
      </c>
    </row>
    <row r="39" spans="1:41" s="58" customFormat="1" ht="17.25" x14ac:dyDescent="0.3">
      <c r="A39" s="68" t="s">
        <v>65</v>
      </c>
      <c r="B39" s="16"/>
      <c r="C39" s="14">
        <f>H39+K39+N39+Q39+T39+W39+Z39+AC39+AF39+AI39+AL39+AO39</f>
        <v>0</v>
      </c>
      <c r="D39" s="19"/>
      <c r="E39" s="3"/>
      <c r="F39" s="132"/>
      <c r="G39" s="65"/>
      <c r="H39" s="65">
        <f t="shared" si="0"/>
        <v>0</v>
      </c>
      <c r="I39" s="132"/>
      <c r="J39" s="66"/>
      <c r="K39" s="66">
        <f t="shared" si="1"/>
        <v>0</v>
      </c>
      <c r="L39" s="132"/>
      <c r="M39" s="65"/>
      <c r="N39" s="65">
        <f t="shared" si="2"/>
        <v>0</v>
      </c>
      <c r="O39" s="132"/>
      <c r="P39" s="66"/>
      <c r="Q39" s="66">
        <f t="shared" si="3"/>
        <v>0</v>
      </c>
      <c r="R39" s="132"/>
      <c r="S39" s="65"/>
      <c r="T39" s="65">
        <f t="shared" si="4"/>
        <v>0</v>
      </c>
      <c r="U39" s="132"/>
      <c r="V39" s="66"/>
      <c r="W39" s="66">
        <f t="shared" si="5"/>
        <v>0</v>
      </c>
      <c r="X39" s="132"/>
      <c r="Y39" s="65"/>
      <c r="Z39" s="65">
        <f t="shared" si="6"/>
        <v>0</v>
      </c>
      <c r="AA39" s="132"/>
      <c r="AB39" s="66"/>
      <c r="AC39" s="66">
        <f t="shared" si="7"/>
        <v>0</v>
      </c>
      <c r="AD39" s="65"/>
      <c r="AE39" s="65"/>
      <c r="AF39" s="65">
        <f t="shared" si="8"/>
        <v>0</v>
      </c>
      <c r="AG39" s="66"/>
      <c r="AH39" s="66"/>
      <c r="AI39" s="66">
        <f t="shared" si="9"/>
        <v>0</v>
      </c>
      <c r="AJ39" s="65"/>
      <c r="AK39" s="65"/>
      <c r="AL39" s="65">
        <f t="shared" si="10"/>
        <v>0</v>
      </c>
      <c r="AM39" s="66"/>
      <c r="AN39" s="66"/>
      <c r="AO39" s="66">
        <f t="shared" si="21"/>
        <v>0</v>
      </c>
    </row>
    <row r="40" spans="1:41" s="58" customFormat="1" ht="21.95" customHeight="1" x14ac:dyDescent="0.3">
      <c r="A40" s="4" t="s">
        <v>11</v>
      </c>
      <c r="B40" s="16"/>
      <c r="C40" s="17">
        <f>C37-C38-C39</f>
        <v>1469</v>
      </c>
      <c r="D40" s="17">
        <f>SUM(D37:D37)</f>
        <v>0</v>
      </c>
      <c r="E40" s="3"/>
      <c r="F40" s="17">
        <f t="shared" ref="F40:AO40" si="22">F37-F38-F39</f>
        <v>-3</v>
      </c>
      <c r="G40" s="17">
        <f t="shared" si="22"/>
        <v>0</v>
      </c>
      <c r="H40" s="17">
        <f t="shared" si="22"/>
        <v>-3</v>
      </c>
      <c r="I40" s="17">
        <f t="shared" si="22"/>
        <v>159</v>
      </c>
      <c r="J40" s="17">
        <f t="shared" si="22"/>
        <v>0</v>
      </c>
      <c r="K40" s="17">
        <f t="shared" si="22"/>
        <v>159</v>
      </c>
      <c r="L40" s="17">
        <f t="shared" si="22"/>
        <v>0</v>
      </c>
      <c r="M40" s="17">
        <f t="shared" si="22"/>
        <v>0</v>
      </c>
      <c r="N40" s="17">
        <f t="shared" si="22"/>
        <v>0</v>
      </c>
      <c r="O40" s="17">
        <f t="shared" si="22"/>
        <v>130</v>
      </c>
      <c r="P40" s="17">
        <f t="shared" si="22"/>
        <v>0</v>
      </c>
      <c r="Q40" s="17">
        <f t="shared" si="22"/>
        <v>130</v>
      </c>
      <c r="R40" s="17">
        <f t="shared" si="22"/>
        <v>1074</v>
      </c>
      <c r="S40" s="17">
        <f t="shared" si="22"/>
        <v>0</v>
      </c>
      <c r="T40" s="17">
        <f t="shared" si="22"/>
        <v>1074</v>
      </c>
      <c r="U40" s="17">
        <f t="shared" si="22"/>
        <v>31</v>
      </c>
      <c r="V40" s="17">
        <f t="shared" si="22"/>
        <v>0</v>
      </c>
      <c r="W40" s="17">
        <f t="shared" si="22"/>
        <v>31</v>
      </c>
      <c r="X40" s="17">
        <f t="shared" si="22"/>
        <v>33</v>
      </c>
      <c r="Y40" s="17">
        <f t="shared" si="22"/>
        <v>0</v>
      </c>
      <c r="Z40" s="17">
        <f t="shared" si="22"/>
        <v>33</v>
      </c>
      <c r="AA40" s="17">
        <f t="shared" si="22"/>
        <v>41</v>
      </c>
      <c r="AB40" s="17">
        <f t="shared" si="22"/>
        <v>0</v>
      </c>
      <c r="AC40" s="17">
        <f t="shared" si="22"/>
        <v>41</v>
      </c>
      <c r="AD40" s="17">
        <f t="shared" si="22"/>
        <v>4</v>
      </c>
      <c r="AE40" s="17">
        <f t="shared" si="22"/>
        <v>0</v>
      </c>
      <c r="AF40" s="17">
        <f t="shared" si="22"/>
        <v>4</v>
      </c>
      <c r="AG40" s="17">
        <f t="shared" si="22"/>
        <v>0</v>
      </c>
      <c r="AH40" s="17">
        <f t="shared" si="22"/>
        <v>0</v>
      </c>
      <c r="AI40" s="17">
        <f t="shared" si="22"/>
        <v>0</v>
      </c>
      <c r="AJ40" s="17">
        <f t="shared" si="22"/>
        <v>0</v>
      </c>
      <c r="AK40" s="17">
        <f t="shared" si="22"/>
        <v>0</v>
      </c>
      <c r="AL40" s="17">
        <f t="shared" si="22"/>
        <v>0</v>
      </c>
      <c r="AM40" s="17">
        <f t="shared" si="22"/>
        <v>0</v>
      </c>
      <c r="AN40" s="17">
        <f t="shared" si="22"/>
        <v>0</v>
      </c>
      <c r="AO40" s="17">
        <f t="shared" si="22"/>
        <v>0</v>
      </c>
    </row>
    <row r="41" spans="1:41" s="58" customFormat="1" ht="17.25" x14ac:dyDescent="0.3">
      <c r="A41" s="15"/>
      <c r="B41" s="16"/>
      <c r="C41" s="18"/>
      <c r="D41" s="18"/>
      <c r="E41" s="3"/>
      <c r="F41" s="65"/>
      <c r="G41" s="65"/>
      <c r="H41" s="65">
        <f t="shared" si="0"/>
        <v>0</v>
      </c>
      <c r="I41" s="66"/>
      <c r="J41" s="66"/>
      <c r="K41" s="66">
        <f t="shared" si="1"/>
        <v>0</v>
      </c>
      <c r="L41" s="65"/>
      <c r="M41" s="65"/>
      <c r="N41" s="65">
        <f t="shared" si="2"/>
        <v>0</v>
      </c>
      <c r="O41" s="66"/>
      <c r="P41" s="66"/>
      <c r="Q41" s="66">
        <f t="shared" si="3"/>
        <v>0</v>
      </c>
      <c r="R41" s="65"/>
      <c r="S41" s="65"/>
      <c r="T41" s="65">
        <f t="shared" si="4"/>
        <v>0</v>
      </c>
      <c r="U41" s="66"/>
      <c r="V41" s="66"/>
      <c r="W41" s="66">
        <f t="shared" si="5"/>
        <v>0</v>
      </c>
      <c r="X41" s="65"/>
      <c r="Y41" s="65"/>
      <c r="Z41" s="65">
        <f t="shared" si="6"/>
        <v>0</v>
      </c>
      <c r="AA41" s="66"/>
      <c r="AB41" s="66"/>
      <c r="AC41" s="66">
        <f t="shared" si="7"/>
        <v>0</v>
      </c>
      <c r="AD41" s="65"/>
      <c r="AE41" s="65"/>
      <c r="AF41" s="65">
        <f t="shared" si="8"/>
        <v>0</v>
      </c>
      <c r="AG41" s="66"/>
      <c r="AH41" s="66"/>
      <c r="AI41" s="66">
        <f t="shared" si="9"/>
        <v>0</v>
      </c>
      <c r="AJ41" s="65"/>
      <c r="AK41" s="65"/>
      <c r="AL41" s="65">
        <f t="shared" si="10"/>
        <v>0</v>
      </c>
      <c r="AM41" s="66"/>
      <c r="AN41" s="66"/>
      <c r="AO41" s="66">
        <f t="shared" ref="AO41" si="23">AM41+AN41</f>
        <v>0</v>
      </c>
    </row>
    <row r="42" spans="1:41" s="58" customFormat="1" ht="18" thickBot="1" x14ac:dyDescent="0.35">
      <c r="A42" s="4" t="s">
        <v>12</v>
      </c>
      <c r="B42" s="16"/>
      <c r="C42" s="23">
        <f>C33+C40</f>
        <v>424060</v>
      </c>
      <c r="D42" s="23">
        <f>D33+D40</f>
        <v>280000</v>
      </c>
      <c r="E42" s="3"/>
      <c r="F42" s="23">
        <f t="shared" ref="F42:AO42" si="24">F33+F40</f>
        <v>202240</v>
      </c>
      <c r="G42" s="23">
        <f t="shared" si="24"/>
        <v>24640</v>
      </c>
      <c r="H42" s="23">
        <f t="shared" si="24"/>
        <v>226880</v>
      </c>
      <c r="I42" s="23">
        <f t="shared" si="24"/>
        <v>61448</v>
      </c>
      <c r="J42" s="23">
        <f t="shared" si="24"/>
        <v>-43845</v>
      </c>
      <c r="K42" s="23">
        <f t="shared" si="24"/>
        <v>17603</v>
      </c>
      <c r="L42" s="23">
        <f t="shared" si="24"/>
        <v>0</v>
      </c>
      <c r="M42" s="23">
        <f t="shared" si="24"/>
        <v>0</v>
      </c>
      <c r="N42" s="23">
        <f t="shared" si="24"/>
        <v>0</v>
      </c>
      <c r="O42" s="23">
        <f t="shared" si="24"/>
        <v>83726</v>
      </c>
      <c r="P42" s="23">
        <f t="shared" si="24"/>
        <v>-202360</v>
      </c>
      <c r="Q42" s="23">
        <f t="shared" si="24"/>
        <v>-118634</v>
      </c>
      <c r="R42" s="23">
        <f t="shared" si="24"/>
        <v>288224</v>
      </c>
      <c r="S42" s="23">
        <f t="shared" si="24"/>
        <v>0</v>
      </c>
      <c r="T42" s="23">
        <f t="shared" si="24"/>
        <v>288224</v>
      </c>
      <c r="U42" s="23">
        <f t="shared" si="24"/>
        <v>1458</v>
      </c>
      <c r="V42" s="23">
        <f t="shared" si="24"/>
        <v>-12460</v>
      </c>
      <c r="W42" s="23">
        <f t="shared" si="24"/>
        <v>-11002</v>
      </c>
      <c r="X42" s="23">
        <f t="shared" si="24"/>
        <v>13449</v>
      </c>
      <c r="Y42" s="23">
        <f t="shared" si="24"/>
        <v>0</v>
      </c>
      <c r="Z42" s="23">
        <f t="shared" si="24"/>
        <v>13449</v>
      </c>
      <c r="AA42" s="23">
        <f t="shared" si="24"/>
        <v>6992</v>
      </c>
      <c r="AB42" s="23">
        <f t="shared" si="24"/>
        <v>0</v>
      </c>
      <c r="AC42" s="23">
        <f t="shared" si="24"/>
        <v>6992</v>
      </c>
      <c r="AD42" s="23">
        <f t="shared" si="24"/>
        <v>548</v>
      </c>
      <c r="AE42" s="23">
        <f t="shared" si="24"/>
        <v>0</v>
      </c>
      <c r="AF42" s="23">
        <f t="shared" si="24"/>
        <v>548</v>
      </c>
      <c r="AG42" s="23">
        <f t="shared" si="24"/>
        <v>0</v>
      </c>
      <c r="AH42" s="23">
        <f t="shared" si="24"/>
        <v>0</v>
      </c>
      <c r="AI42" s="23">
        <f t="shared" si="24"/>
        <v>0</v>
      </c>
      <c r="AJ42" s="23">
        <f t="shared" si="24"/>
        <v>0</v>
      </c>
      <c r="AK42" s="23">
        <f t="shared" si="24"/>
        <v>0</v>
      </c>
      <c r="AL42" s="23">
        <f t="shared" si="24"/>
        <v>0</v>
      </c>
      <c r="AM42" s="23">
        <f t="shared" si="24"/>
        <v>0</v>
      </c>
      <c r="AN42" s="23">
        <f t="shared" si="24"/>
        <v>0</v>
      </c>
      <c r="AO42" s="23">
        <f t="shared" si="24"/>
        <v>0</v>
      </c>
    </row>
    <row r="43" spans="1:41" s="58" customFormat="1" ht="18" thickTop="1" x14ac:dyDescent="0.3">
      <c r="A43" s="15"/>
      <c r="B43" s="16"/>
      <c r="C43" s="24"/>
      <c r="D43" s="24"/>
      <c r="E43" s="3"/>
      <c r="F43" s="65"/>
      <c r="G43" s="65"/>
      <c r="H43" s="65"/>
      <c r="I43" s="66"/>
      <c r="J43" s="66"/>
      <c r="K43" s="66"/>
      <c r="L43" s="65"/>
      <c r="M43" s="65"/>
      <c r="N43" s="65"/>
      <c r="O43" s="66"/>
      <c r="P43" s="66"/>
      <c r="Q43" s="66"/>
      <c r="R43" s="65"/>
      <c r="S43" s="65"/>
      <c r="T43" s="65"/>
      <c r="U43" s="66"/>
      <c r="V43" s="66"/>
      <c r="W43" s="66"/>
      <c r="X43" s="65"/>
      <c r="Y43" s="65"/>
      <c r="Z43" s="65"/>
      <c r="AA43" s="66"/>
      <c r="AB43" s="66"/>
      <c r="AC43" s="66"/>
      <c r="AD43" s="65"/>
      <c r="AE43" s="65"/>
      <c r="AF43" s="65"/>
      <c r="AG43" s="66"/>
      <c r="AH43" s="66"/>
      <c r="AI43" s="66"/>
      <c r="AJ43" s="65"/>
      <c r="AK43" s="65"/>
      <c r="AL43" s="65"/>
      <c r="AM43" s="66"/>
      <c r="AN43" s="66"/>
      <c r="AO43" s="66"/>
    </row>
    <row r="44" spans="1:41" s="58" customFormat="1" ht="21.95" customHeight="1" x14ac:dyDescent="0.3">
      <c r="A44" s="15"/>
      <c r="B44" s="16"/>
      <c r="C44" s="24"/>
      <c r="D44" s="24"/>
      <c r="E44" s="3"/>
      <c r="F44" s="65"/>
      <c r="G44" s="65"/>
      <c r="H44" s="65"/>
      <c r="I44" s="66"/>
      <c r="J44" s="66"/>
      <c r="K44" s="66"/>
      <c r="L44" s="65"/>
      <c r="M44" s="65"/>
      <c r="N44" s="65"/>
      <c r="O44" s="66"/>
      <c r="P44" s="66"/>
      <c r="Q44" s="66"/>
      <c r="R44" s="65"/>
      <c r="S44" s="65"/>
      <c r="T44" s="65"/>
      <c r="U44" s="66"/>
      <c r="V44" s="66"/>
      <c r="W44" s="66"/>
      <c r="X44" s="65"/>
      <c r="Y44" s="65"/>
      <c r="Z44" s="65"/>
      <c r="AA44" s="66"/>
      <c r="AB44" s="66"/>
      <c r="AC44" s="66"/>
      <c r="AD44" s="65"/>
      <c r="AE44" s="65"/>
      <c r="AF44" s="65"/>
      <c r="AG44" s="66"/>
      <c r="AH44" s="66"/>
      <c r="AI44" s="66"/>
      <c r="AJ44" s="65"/>
      <c r="AK44" s="65"/>
      <c r="AL44" s="65"/>
      <c r="AM44" s="66"/>
      <c r="AN44" s="66"/>
      <c r="AO44" s="66"/>
    </row>
    <row r="45" spans="1:41" s="58" customFormat="1" ht="17.25" x14ac:dyDescent="0.3">
      <c r="A45" s="4" t="s">
        <v>13</v>
      </c>
      <c r="B45" s="25"/>
      <c r="C45" s="26"/>
      <c r="D45" s="26"/>
      <c r="E45" s="3"/>
      <c r="F45" s="65"/>
      <c r="G45" s="65"/>
      <c r="H45" s="65"/>
      <c r="I45" s="66"/>
      <c r="J45" s="66"/>
      <c r="K45" s="66"/>
      <c r="L45" s="65"/>
      <c r="M45" s="65"/>
      <c r="N45" s="65"/>
      <c r="O45" s="66"/>
      <c r="P45" s="66"/>
      <c r="Q45" s="66"/>
      <c r="R45" s="65"/>
      <c r="S45" s="65"/>
      <c r="T45" s="65"/>
      <c r="U45" s="66"/>
      <c r="V45" s="66"/>
      <c r="W45" s="66"/>
      <c r="X45" s="65"/>
      <c r="Y45" s="65"/>
      <c r="Z45" s="65"/>
      <c r="AA45" s="66"/>
      <c r="AB45" s="66"/>
      <c r="AC45" s="66"/>
      <c r="AD45" s="65"/>
      <c r="AE45" s="65"/>
      <c r="AF45" s="65"/>
      <c r="AG45" s="66"/>
      <c r="AH45" s="66"/>
      <c r="AI45" s="66"/>
      <c r="AJ45" s="65"/>
      <c r="AK45" s="65"/>
      <c r="AL45" s="65"/>
      <c r="AM45" s="66"/>
      <c r="AN45" s="66"/>
      <c r="AO45" s="66"/>
    </row>
    <row r="46" spans="1:41" s="58" customFormat="1" ht="17.25" x14ac:dyDescent="0.3">
      <c r="A46" s="15" t="s">
        <v>14</v>
      </c>
      <c r="B46" s="16"/>
      <c r="C46" s="14">
        <f>H46+K46+N46+Q46+T46+W46+Z46+AC46+AF46+AI46+AL46+AO46</f>
        <v>424060</v>
      </c>
      <c r="D46" s="27">
        <f>D42</f>
        <v>280000</v>
      </c>
      <c r="E46" s="3"/>
      <c r="F46" s="27">
        <v>202240</v>
      </c>
      <c r="G46" s="27">
        <f t="shared" ref="G46:AO46" si="25">G42</f>
        <v>24640</v>
      </c>
      <c r="H46" s="27">
        <f t="shared" si="25"/>
        <v>226880</v>
      </c>
      <c r="I46" s="27">
        <f t="shared" si="25"/>
        <v>61448</v>
      </c>
      <c r="J46" s="27">
        <f t="shared" si="25"/>
        <v>-43845</v>
      </c>
      <c r="K46" s="27">
        <f t="shared" si="25"/>
        <v>17603</v>
      </c>
      <c r="L46" s="27">
        <f t="shared" si="25"/>
        <v>0</v>
      </c>
      <c r="M46" s="27">
        <f t="shared" si="25"/>
        <v>0</v>
      </c>
      <c r="N46" s="27">
        <f>L46+M46</f>
        <v>0</v>
      </c>
      <c r="O46" s="27">
        <f t="shared" si="25"/>
        <v>83726</v>
      </c>
      <c r="P46" s="27">
        <f t="shared" si="25"/>
        <v>-202360</v>
      </c>
      <c r="Q46" s="27">
        <f t="shared" si="25"/>
        <v>-118634</v>
      </c>
      <c r="R46" s="27">
        <f t="shared" si="25"/>
        <v>288224</v>
      </c>
      <c r="S46" s="121">
        <f>S42</f>
        <v>0</v>
      </c>
      <c r="T46" s="27">
        <f>R46+S46</f>
        <v>288224</v>
      </c>
      <c r="U46" s="27">
        <f t="shared" si="25"/>
        <v>1458</v>
      </c>
      <c r="V46" s="27">
        <f t="shared" si="25"/>
        <v>-12460</v>
      </c>
      <c r="W46" s="27">
        <f t="shared" si="25"/>
        <v>-11002</v>
      </c>
      <c r="X46" s="27">
        <f t="shared" si="25"/>
        <v>13449</v>
      </c>
      <c r="Y46" s="27">
        <f t="shared" si="25"/>
        <v>0</v>
      </c>
      <c r="Z46" s="27">
        <f t="shared" si="25"/>
        <v>13449</v>
      </c>
      <c r="AA46" s="27">
        <f t="shared" si="25"/>
        <v>6992</v>
      </c>
      <c r="AB46" s="27">
        <f t="shared" si="25"/>
        <v>0</v>
      </c>
      <c r="AC46" s="27">
        <f t="shared" si="25"/>
        <v>6992</v>
      </c>
      <c r="AD46" s="27">
        <f t="shared" si="25"/>
        <v>548</v>
      </c>
      <c r="AE46" s="27">
        <f t="shared" si="25"/>
        <v>0</v>
      </c>
      <c r="AF46" s="27">
        <f t="shared" si="25"/>
        <v>548</v>
      </c>
      <c r="AG46" s="27">
        <f t="shared" si="25"/>
        <v>0</v>
      </c>
      <c r="AH46" s="27">
        <f t="shared" si="25"/>
        <v>0</v>
      </c>
      <c r="AI46" s="27">
        <f t="shared" si="25"/>
        <v>0</v>
      </c>
      <c r="AJ46" s="27">
        <f t="shared" si="25"/>
        <v>0</v>
      </c>
      <c r="AK46" s="27">
        <f t="shared" si="25"/>
        <v>0</v>
      </c>
      <c r="AL46" s="27">
        <f t="shared" si="25"/>
        <v>0</v>
      </c>
      <c r="AM46" s="27">
        <f t="shared" si="25"/>
        <v>0</v>
      </c>
      <c r="AN46" s="27">
        <f t="shared" si="25"/>
        <v>0</v>
      </c>
      <c r="AO46" s="27">
        <f t="shared" si="25"/>
        <v>0</v>
      </c>
    </row>
    <row r="47" spans="1:41" s="58" customFormat="1" ht="18.95" customHeight="1" thickBot="1" x14ac:dyDescent="0.35">
      <c r="A47" s="4" t="s">
        <v>15</v>
      </c>
      <c r="B47" s="16"/>
      <c r="C47" s="23">
        <f>SUM(C46:C46)</f>
        <v>424060</v>
      </c>
      <c r="D47" s="23">
        <f>D42</f>
        <v>280000</v>
      </c>
      <c r="E47" s="3"/>
      <c r="F47" s="23">
        <f t="shared" ref="F47:AO47" si="26">SUM(F46:F46)</f>
        <v>202240</v>
      </c>
      <c r="G47" s="23">
        <f t="shared" si="26"/>
        <v>24640</v>
      </c>
      <c r="H47" s="23">
        <f t="shared" si="26"/>
        <v>226880</v>
      </c>
      <c r="I47" s="23">
        <f t="shared" si="26"/>
        <v>61448</v>
      </c>
      <c r="J47" s="23">
        <f t="shared" si="26"/>
        <v>-43845</v>
      </c>
      <c r="K47" s="23">
        <f t="shared" si="26"/>
        <v>17603</v>
      </c>
      <c r="L47" s="23">
        <f t="shared" si="26"/>
        <v>0</v>
      </c>
      <c r="M47" s="23">
        <f t="shared" si="26"/>
        <v>0</v>
      </c>
      <c r="N47" s="23">
        <f t="shared" si="26"/>
        <v>0</v>
      </c>
      <c r="O47" s="23">
        <f t="shared" si="26"/>
        <v>83726</v>
      </c>
      <c r="P47" s="23">
        <f t="shared" si="26"/>
        <v>-202360</v>
      </c>
      <c r="Q47" s="23">
        <f t="shared" si="26"/>
        <v>-118634</v>
      </c>
      <c r="R47" s="23">
        <f t="shared" si="26"/>
        <v>288224</v>
      </c>
      <c r="S47" s="23">
        <f t="shared" si="26"/>
        <v>0</v>
      </c>
      <c r="T47" s="23">
        <f t="shared" si="26"/>
        <v>288224</v>
      </c>
      <c r="U47" s="23">
        <f t="shared" si="26"/>
        <v>1458</v>
      </c>
      <c r="V47" s="23">
        <f t="shared" si="26"/>
        <v>-12460</v>
      </c>
      <c r="W47" s="23">
        <f t="shared" si="26"/>
        <v>-11002</v>
      </c>
      <c r="X47" s="23">
        <f t="shared" si="26"/>
        <v>13449</v>
      </c>
      <c r="Y47" s="23">
        <f t="shared" si="26"/>
        <v>0</v>
      </c>
      <c r="Z47" s="23">
        <f t="shared" si="26"/>
        <v>13449</v>
      </c>
      <c r="AA47" s="23">
        <f t="shared" si="26"/>
        <v>6992</v>
      </c>
      <c r="AB47" s="23">
        <f t="shared" si="26"/>
        <v>0</v>
      </c>
      <c r="AC47" s="23">
        <f t="shared" si="26"/>
        <v>6992</v>
      </c>
      <c r="AD47" s="23">
        <f t="shared" si="26"/>
        <v>548</v>
      </c>
      <c r="AE47" s="23">
        <f t="shared" si="26"/>
        <v>0</v>
      </c>
      <c r="AF47" s="23">
        <f t="shared" si="26"/>
        <v>548</v>
      </c>
      <c r="AG47" s="23">
        <f t="shared" si="26"/>
        <v>0</v>
      </c>
      <c r="AH47" s="23">
        <f t="shared" si="26"/>
        <v>0</v>
      </c>
      <c r="AI47" s="23">
        <f t="shared" si="26"/>
        <v>0</v>
      </c>
      <c r="AJ47" s="23">
        <f t="shared" si="26"/>
        <v>0</v>
      </c>
      <c r="AK47" s="23">
        <f t="shared" si="26"/>
        <v>0</v>
      </c>
      <c r="AL47" s="23">
        <f t="shared" si="26"/>
        <v>0</v>
      </c>
      <c r="AM47" s="23">
        <f t="shared" si="26"/>
        <v>0</v>
      </c>
      <c r="AN47" s="23">
        <f t="shared" si="26"/>
        <v>0</v>
      </c>
      <c r="AO47" s="23">
        <f t="shared" si="26"/>
        <v>0</v>
      </c>
    </row>
    <row r="48" spans="1:41" s="58" customFormat="1" ht="18.95" customHeight="1" thickTop="1" x14ac:dyDescent="0.3">
      <c r="A48" s="4"/>
      <c r="B48" s="16"/>
      <c r="C48" s="28"/>
      <c r="D48" s="29"/>
      <c r="E48" s="3"/>
      <c r="F48" s="65"/>
      <c r="G48" s="65"/>
      <c r="H48" s="65"/>
      <c r="I48" s="66"/>
      <c r="J48" s="66"/>
      <c r="K48" s="66"/>
      <c r="L48" s="65"/>
      <c r="M48" s="65"/>
      <c r="N48" s="65"/>
      <c r="O48" s="66"/>
      <c r="P48" s="66"/>
      <c r="Q48" s="66"/>
      <c r="R48" s="65"/>
      <c r="S48" s="65"/>
      <c r="T48" s="65"/>
      <c r="U48" s="66"/>
      <c r="V48" s="66"/>
      <c r="W48" s="66"/>
      <c r="X48" s="65"/>
      <c r="Y48" s="65"/>
      <c r="Z48" s="65"/>
      <c r="AA48" s="66"/>
      <c r="AB48" s="66"/>
      <c r="AC48" s="66"/>
      <c r="AD48" s="65"/>
      <c r="AE48" s="65"/>
      <c r="AF48" s="65"/>
      <c r="AG48" s="66"/>
      <c r="AH48" s="66"/>
      <c r="AI48" s="66"/>
      <c r="AJ48" s="65"/>
      <c r="AK48" s="65"/>
      <c r="AL48" s="65"/>
      <c r="AM48" s="66"/>
      <c r="AN48" s="66"/>
      <c r="AO48" s="66"/>
    </row>
    <row r="49" spans="1:41" s="58" customFormat="1" ht="18.95" customHeight="1" x14ac:dyDescent="0.3">
      <c r="A49" s="4"/>
      <c r="B49" s="16"/>
      <c r="C49" s="28"/>
      <c r="D49" s="29"/>
      <c r="E49" s="3"/>
      <c r="F49" s="65"/>
      <c r="G49" s="65"/>
      <c r="H49" s="65"/>
      <c r="I49" s="66"/>
      <c r="J49" s="66"/>
      <c r="K49" s="66"/>
      <c r="L49" s="65"/>
      <c r="M49" s="65"/>
      <c r="N49" s="65"/>
      <c r="O49" s="66"/>
      <c r="P49" s="66"/>
      <c r="Q49" s="66"/>
      <c r="R49" s="65"/>
      <c r="S49" s="65"/>
      <c r="T49" s="65"/>
      <c r="U49" s="66"/>
      <c r="V49" s="66"/>
      <c r="W49" s="66"/>
      <c r="X49" s="65"/>
      <c r="Y49" s="65"/>
      <c r="Z49" s="65"/>
      <c r="AA49" s="66"/>
      <c r="AB49" s="66"/>
      <c r="AC49" s="66"/>
      <c r="AD49" s="65"/>
      <c r="AE49" s="65"/>
      <c r="AF49" s="65"/>
      <c r="AG49" s="66"/>
      <c r="AH49" s="66"/>
      <c r="AI49" s="66"/>
      <c r="AJ49" s="65"/>
      <c r="AK49" s="65"/>
      <c r="AL49" s="65"/>
      <c r="AM49" s="66"/>
      <c r="AN49" s="66"/>
      <c r="AO49" s="66"/>
    </row>
    <row r="50" spans="1:41" s="58" customFormat="1" ht="30" customHeight="1" x14ac:dyDescent="0.4">
      <c r="A50" s="1" t="str">
        <f>A1</f>
        <v>Otta Idrettslag - med undergrupper</v>
      </c>
      <c r="B50" s="16"/>
      <c r="C50" s="28"/>
      <c r="D50" s="29"/>
      <c r="E50" s="3"/>
      <c r="F50" s="65"/>
      <c r="G50" s="65"/>
      <c r="H50" s="65"/>
      <c r="I50" s="66"/>
      <c r="J50" s="66"/>
      <c r="K50" s="66"/>
      <c r="L50" s="65"/>
      <c r="M50" s="65"/>
      <c r="N50" s="65"/>
      <c r="O50" s="66"/>
      <c r="P50" s="66"/>
      <c r="Q50" s="66"/>
      <c r="R50" s="65"/>
      <c r="S50" s="65"/>
      <c r="T50" s="65"/>
      <c r="U50" s="66"/>
      <c r="V50" s="66"/>
      <c r="W50" s="66"/>
      <c r="X50" s="65"/>
      <c r="Y50" s="65"/>
      <c r="Z50" s="65"/>
      <c r="AA50" s="66"/>
      <c r="AB50" s="66"/>
      <c r="AC50" s="66"/>
      <c r="AD50" s="65"/>
      <c r="AE50" s="65"/>
      <c r="AF50" s="65"/>
      <c r="AG50" s="66"/>
      <c r="AH50" s="66"/>
      <c r="AI50" s="66"/>
      <c r="AJ50" s="65"/>
      <c r="AK50" s="65"/>
      <c r="AL50" s="65"/>
      <c r="AM50" s="66"/>
      <c r="AN50" s="66"/>
      <c r="AO50" s="66"/>
    </row>
    <row r="51" spans="1:41" s="58" customFormat="1" x14ac:dyDescent="0.2">
      <c r="A51" s="15"/>
      <c r="B51" s="148"/>
      <c r="C51" s="14"/>
      <c r="D51" s="14"/>
      <c r="E51" s="3"/>
      <c r="F51" s="65"/>
      <c r="G51" s="65"/>
      <c r="H51" s="65"/>
      <c r="I51" s="66"/>
      <c r="J51" s="66"/>
      <c r="K51" s="66"/>
      <c r="L51" s="65"/>
      <c r="M51" s="65"/>
      <c r="N51" s="65"/>
      <c r="O51" s="66"/>
      <c r="P51" s="66"/>
      <c r="Q51" s="66"/>
      <c r="R51" s="65"/>
      <c r="S51" s="65"/>
      <c r="T51" s="65"/>
      <c r="U51" s="66"/>
      <c r="V51" s="66"/>
      <c r="W51" s="66"/>
      <c r="X51" s="65"/>
      <c r="Y51" s="65"/>
      <c r="Z51" s="65"/>
      <c r="AA51" s="66"/>
      <c r="AB51" s="66"/>
      <c r="AC51" s="66"/>
      <c r="AD51" s="65"/>
      <c r="AE51" s="65"/>
      <c r="AF51" s="65"/>
      <c r="AG51" s="66"/>
      <c r="AH51" s="66"/>
      <c r="AI51" s="66"/>
      <c r="AJ51" s="65"/>
      <c r="AK51" s="65"/>
      <c r="AL51" s="65"/>
      <c r="AM51" s="66"/>
      <c r="AN51" s="66"/>
      <c r="AO51" s="66"/>
    </row>
    <row r="52" spans="1:41" s="58" customFormat="1" x14ac:dyDescent="0.2">
      <c r="A52" s="4" t="s">
        <v>16</v>
      </c>
      <c r="B52" s="148"/>
      <c r="C52" s="30"/>
      <c r="D52" s="30"/>
      <c r="E52" s="3"/>
      <c r="F52" s="65"/>
      <c r="G52" s="65"/>
      <c r="H52" s="65"/>
      <c r="I52" s="66"/>
      <c r="J52" s="66"/>
      <c r="K52" s="66"/>
      <c r="L52" s="65"/>
      <c r="M52" s="65"/>
      <c r="N52" s="65"/>
      <c r="O52" s="66"/>
      <c r="P52" s="66"/>
      <c r="Q52" s="66"/>
      <c r="R52" s="65"/>
      <c r="S52" s="65"/>
      <c r="T52" s="65"/>
      <c r="U52" s="66"/>
      <c r="V52" s="66"/>
      <c r="W52" s="66"/>
      <c r="X52" s="65"/>
      <c r="Y52" s="65"/>
      <c r="Z52" s="65"/>
      <c r="AA52" s="66"/>
      <c r="AB52" s="66"/>
      <c r="AC52" s="66"/>
      <c r="AD52" s="65"/>
      <c r="AE52" s="65"/>
      <c r="AF52" s="65"/>
      <c r="AG52" s="66"/>
      <c r="AH52" s="66"/>
      <c r="AI52" s="66"/>
      <c r="AJ52" s="65"/>
      <c r="AK52" s="65"/>
      <c r="AL52" s="65"/>
      <c r="AM52" s="66"/>
      <c r="AN52" s="66"/>
      <c r="AO52" s="66"/>
    </row>
    <row r="53" spans="1:41" s="58" customFormat="1" x14ac:dyDescent="0.2">
      <c r="A53" s="31"/>
      <c r="B53" s="32"/>
      <c r="C53" s="33">
        <f>C4</f>
        <v>2021</v>
      </c>
      <c r="D53" s="34"/>
      <c r="E53" s="3"/>
      <c r="F53" s="65"/>
      <c r="G53" s="65"/>
      <c r="H53" s="65"/>
      <c r="I53" s="66"/>
      <c r="J53" s="66"/>
      <c r="K53" s="66"/>
      <c r="L53" s="65"/>
      <c r="M53" s="65"/>
      <c r="N53" s="65"/>
      <c r="O53" s="66"/>
      <c r="P53" s="66"/>
      <c r="Q53" s="66"/>
      <c r="R53" s="65"/>
      <c r="S53" s="65"/>
      <c r="T53" s="65"/>
      <c r="U53" s="66"/>
      <c r="V53" s="66"/>
      <c r="W53" s="66"/>
      <c r="X53" s="65"/>
      <c r="Y53" s="65"/>
      <c r="Z53" s="65"/>
      <c r="AA53" s="66"/>
      <c r="AB53" s="66"/>
      <c r="AC53" s="66"/>
      <c r="AD53" s="65"/>
      <c r="AE53" s="65"/>
      <c r="AF53" s="65"/>
      <c r="AG53" s="66"/>
      <c r="AH53" s="66"/>
      <c r="AI53" s="66"/>
      <c r="AJ53" s="65"/>
      <c r="AK53" s="65"/>
      <c r="AL53" s="65"/>
      <c r="AM53" s="66"/>
      <c r="AN53" s="66"/>
      <c r="AO53" s="66"/>
    </row>
    <row r="54" spans="1:41" s="58" customFormat="1" ht="15.75" x14ac:dyDescent="0.25">
      <c r="A54" s="35" t="s">
        <v>17</v>
      </c>
      <c r="B54" s="36" t="s">
        <v>4</v>
      </c>
      <c r="C54" s="37"/>
      <c r="D54" s="38"/>
      <c r="E54" s="3"/>
      <c r="F54" s="65"/>
      <c r="G54" s="65"/>
      <c r="H54" s="65"/>
      <c r="I54" s="66"/>
      <c r="J54" s="66"/>
      <c r="K54" s="66"/>
      <c r="L54" s="65"/>
      <c r="M54" s="65"/>
      <c r="N54" s="65"/>
      <c r="O54" s="66"/>
      <c r="P54" s="66"/>
      <c r="Q54" s="66"/>
      <c r="R54" s="65"/>
      <c r="S54" s="65"/>
      <c r="T54" s="65"/>
      <c r="U54" s="66"/>
      <c r="V54" s="66"/>
      <c r="W54" s="66"/>
      <c r="X54" s="65"/>
      <c r="Y54" s="65"/>
      <c r="Z54" s="65"/>
      <c r="AA54" s="66"/>
      <c r="AB54" s="66"/>
      <c r="AC54" s="66"/>
      <c r="AD54" s="65"/>
      <c r="AE54" s="65"/>
      <c r="AF54" s="65"/>
      <c r="AG54" s="66"/>
      <c r="AH54" s="66"/>
      <c r="AI54" s="66"/>
      <c r="AJ54" s="65"/>
      <c r="AK54" s="65"/>
      <c r="AL54" s="65"/>
      <c r="AM54" s="66"/>
      <c r="AN54" s="66"/>
      <c r="AO54" s="66"/>
    </row>
    <row r="55" spans="1:41" s="58" customFormat="1" ht="19.5" customHeight="1" x14ac:dyDescent="0.25">
      <c r="A55" s="39"/>
      <c r="B55" s="40"/>
      <c r="C55" s="41"/>
      <c r="D55" s="38"/>
      <c r="E55" s="3"/>
      <c r="F55" s="65"/>
      <c r="G55" s="65"/>
      <c r="H55" s="65"/>
      <c r="I55" s="66"/>
      <c r="J55" s="66"/>
      <c r="K55" s="66"/>
      <c r="L55" s="65"/>
      <c r="M55" s="65"/>
      <c r="N55" s="65"/>
      <c r="O55" s="66"/>
      <c r="P55" s="66"/>
      <c r="Q55" s="66"/>
      <c r="R55" s="65"/>
      <c r="S55" s="65"/>
      <c r="T55" s="65"/>
      <c r="U55" s="66"/>
      <c r="V55" s="66"/>
      <c r="W55" s="66"/>
      <c r="X55" s="65"/>
      <c r="Y55" s="65"/>
      <c r="Z55" s="65"/>
      <c r="AA55" s="66"/>
      <c r="AB55" s="66"/>
      <c r="AC55" s="66"/>
      <c r="AD55" s="65"/>
      <c r="AE55" s="65"/>
      <c r="AF55" s="65"/>
      <c r="AG55" s="66"/>
      <c r="AH55" s="66"/>
      <c r="AI55" s="66"/>
      <c r="AJ55" s="65"/>
      <c r="AK55" s="65"/>
      <c r="AL55" s="65"/>
      <c r="AM55" s="66"/>
      <c r="AN55" s="66"/>
      <c r="AO55" s="66"/>
    </row>
    <row r="56" spans="1:41" s="58" customFormat="1" ht="15.75" x14ac:dyDescent="0.25">
      <c r="A56" s="4" t="s">
        <v>18</v>
      </c>
      <c r="B56" s="16"/>
      <c r="C56" s="41"/>
      <c r="D56" s="42"/>
      <c r="E56" s="3"/>
      <c r="F56" s="65"/>
      <c r="G56" s="65"/>
      <c r="H56" s="65"/>
      <c r="I56" s="66"/>
      <c r="J56" s="66"/>
      <c r="K56" s="66"/>
      <c r="L56" s="65"/>
      <c r="M56" s="65"/>
      <c r="N56" s="65"/>
      <c r="O56" s="66"/>
      <c r="P56" s="66"/>
      <c r="Q56" s="66"/>
      <c r="R56" s="65"/>
      <c r="S56" s="65"/>
      <c r="T56" s="65"/>
      <c r="U56" s="66"/>
      <c r="V56" s="66"/>
      <c r="W56" s="66"/>
      <c r="X56" s="65"/>
      <c r="Y56" s="65"/>
      <c r="Z56" s="65"/>
      <c r="AA56" s="66"/>
      <c r="AB56" s="66"/>
      <c r="AC56" s="66"/>
      <c r="AD56" s="65"/>
      <c r="AE56" s="65"/>
      <c r="AF56" s="65"/>
      <c r="AG56" s="66"/>
      <c r="AH56" s="66"/>
      <c r="AI56" s="66"/>
      <c r="AJ56" s="65"/>
      <c r="AK56" s="65"/>
      <c r="AL56" s="65"/>
      <c r="AM56" s="66"/>
      <c r="AN56" s="66"/>
      <c r="AO56" s="66"/>
    </row>
    <row r="57" spans="1:41" s="58" customFormat="1" ht="14.1" customHeight="1" x14ac:dyDescent="0.3">
      <c r="A57" s="15"/>
      <c r="B57" s="16"/>
      <c r="C57" s="41"/>
      <c r="D57" s="28"/>
      <c r="E57" s="3"/>
      <c r="F57" s="65"/>
      <c r="G57" s="65"/>
      <c r="H57" s="65"/>
      <c r="I57" s="66"/>
      <c r="J57" s="66"/>
      <c r="K57" s="66"/>
      <c r="L57" s="65"/>
      <c r="M57" s="65"/>
      <c r="N57" s="65"/>
      <c r="O57" s="66"/>
      <c r="P57" s="66"/>
      <c r="Q57" s="66"/>
      <c r="R57" s="65"/>
      <c r="S57" s="65"/>
      <c r="T57" s="65"/>
      <c r="U57" s="66"/>
      <c r="V57" s="66"/>
      <c r="W57" s="66"/>
      <c r="X57" s="65"/>
      <c r="Y57" s="65"/>
      <c r="Z57" s="65"/>
      <c r="AA57" s="66"/>
      <c r="AB57" s="66"/>
      <c r="AC57" s="66"/>
      <c r="AD57" s="65"/>
      <c r="AE57" s="65"/>
      <c r="AF57" s="65"/>
      <c r="AG57" s="66"/>
      <c r="AH57" s="66"/>
      <c r="AI57" s="66"/>
      <c r="AJ57" s="65"/>
      <c r="AK57" s="65"/>
      <c r="AL57" s="65"/>
      <c r="AM57" s="66"/>
      <c r="AN57" s="66"/>
      <c r="AO57" s="66"/>
    </row>
    <row r="58" spans="1:41" s="58" customFormat="1" ht="15.75" x14ac:dyDescent="0.25">
      <c r="A58" s="70" t="s">
        <v>70</v>
      </c>
      <c r="B58" s="16"/>
      <c r="C58" s="41"/>
      <c r="D58" s="42"/>
      <c r="E58" s="3"/>
      <c r="F58" s="65"/>
      <c r="G58" s="65"/>
      <c r="H58" s="65"/>
      <c r="I58" s="66"/>
      <c r="J58" s="66"/>
      <c r="K58" s="66"/>
      <c r="L58" s="65"/>
      <c r="M58" s="65"/>
      <c r="N58" s="65"/>
      <c r="O58" s="66"/>
      <c r="P58" s="66"/>
      <c r="Q58" s="66"/>
      <c r="R58" s="65"/>
      <c r="S58" s="65"/>
      <c r="T58" s="65"/>
      <c r="U58" s="66"/>
      <c r="V58" s="66"/>
      <c r="W58" s="66"/>
      <c r="X58" s="65"/>
      <c r="Y58" s="65"/>
      <c r="Z58" s="65"/>
      <c r="AA58" s="66"/>
      <c r="AB58" s="66"/>
      <c r="AC58" s="66"/>
      <c r="AD58" s="65"/>
      <c r="AE58" s="65"/>
      <c r="AF58" s="65"/>
      <c r="AG58" s="66"/>
      <c r="AH58" s="66"/>
      <c r="AI58" s="66"/>
      <c r="AJ58" s="65"/>
      <c r="AK58" s="65"/>
      <c r="AL58" s="65"/>
      <c r="AM58" s="66"/>
      <c r="AN58" s="66"/>
      <c r="AO58" s="66"/>
    </row>
    <row r="59" spans="1:41" s="58" customFormat="1" ht="15.75" x14ac:dyDescent="0.25">
      <c r="A59" s="68" t="s">
        <v>66</v>
      </c>
      <c r="B59" s="16"/>
      <c r="C59" s="14">
        <f>H59+K59+N59+Q59+T59+W59+Z59+AC59+AF59+AI59+AL59+AO59</f>
        <v>2103000</v>
      </c>
      <c r="D59" s="42"/>
      <c r="E59" s="3"/>
      <c r="F59" s="134">
        <v>2010300</v>
      </c>
      <c r="G59" s="65"/>
      <c r="H59" s="65">
        <f t="shared" ref="H59:H95" si="27">F59+G59</f>
        <v>2010300</v>
      </c>
      <c r="I59" s="132">
        <v>0</v>
      </c>
      <c r="J59" s="66"/>
      <c r="K59" s="66">
        <f t="shared" ref="K59:K95" si="28">I59+J59</f>
        <v>0</v>
      </c>
      <c r="L59" s="132">
        <v>0</v>
      </c>
      <c r="M59" s="65"/>
      <c r="N59" s="65">
        <f t="shared" ref="N59:N95" si="29">L59+M59</f>
        <v>0</v>
      </c>
      <c r="O59" s="132">
        <v>0</v>
      </c>
      <c r="P59" s="66"/>
      <c r="Q59" s="66">
        <f t="shared" ref="Q59:Q95" si="30">O59+P59</f>
        <v>0</v>
      </c>
      <c r="R59" s="132">
        <v>92700</v>
      </c>
      <c r="S59" s="65"/>
      <c r="T59" s="65">
        <f t="shared" ref="T59:T95" si="31">R59+S59</f>
        <v>92700</v>
      </c>
      <c r="U59" s="66"/>
      <c r="V59" s="66"/>
      <c r="W59" s="66">
        <f t="shared" ref="W59:W95" si="32">U59+V59</f>
        <v>0</v>
      </c>
      <c r="X59" s="65"/>
      <c r="Y59" s="65"/>
      <c r="Z59" s="65">
        <f t="shared" ref="Z59:Z95" si="33">X59+Y59</f>
        <v>0</v>
      </c>
      <c r="AA59" s="66"/>
      <c r="AB59" s="66"/>
      <c r="AC59" s="66">
        <f t="shared" ref="AC59:AC95" si="34">AA59+AB59</f>
        <v>0</v>
      </c>
      <c r="AD59" s="65"/>
      <c r="AE59" s="65"/>
      <c r="AF59" s="65">
        <f t="shared" ref="AF59:AF95" si="35">AD59+AE59</f>
        <v>0</v>
      </c>
      <c r="AG59" s="66"/>
      <c r="AH59" s="66"/>
      <c r="AI59" s="66">
        <f t="shared" ref="AI59:AI95" si="36">AG59+AH59</f>
        <v>0</v>
      </c>
      <c r="AJ59" s="65"/>
      <c r="AK59" s="65"/>
      <c r="AL59" s="65">
        <f t="shared" ref="AL59:AL95" si="37">AJ59+AK59</f>
        <v>0</v>
      </c>
      <c r="AM59" s="66"/>
      <c r="AN59" s="66"/>
      <c r="AO59" s="66">
        <f t="shared" ref="AO59:AO60" si="38">AM59+AN59</f>
        <v>0</v>
      </c>
    </row>
    <row r="60" spans="1:41" s="58" customFormat="1" ht="17.25" x14ac:dyDescent="0.3">
      <c r="A60" s="68" t="s">
        <v>67</v>
      </c>
      <c r="B60" s="16"/>
      <c r="C60" s="14">
        <f>H60+K60+N60+Q60+T60+W60+Z60+AC60+AF60+AI60+AL60+AO60</f>
        <v>69900</v>
      </c>
      <c r="D60" s="24"/>
      <c r="E60" s="3"/>
      <c r="F60" s="134">
        <v>0</v>
      </c>
      <c r="G60" s="65"/>
      <c r="H60" s="65">
        <f t="shared" si="27"/>
        <v>0</v>
      </c>
      <c r="I60" s="132">
        <v>0</v>
      </c>
      <c r="J60" s="66"/>
      <c r="K60" s="66">
        <f t="shared" si="28"/>
        <v>0</v>
      </c>
      <c r="L60" s="132">
        <v>0</v>
      </c>
      <c r="M60" s="65"/>
      <c r="N60" s="65">
        <f t="shared" si="29"/>
        <v>0</v>
      </c>
      <c r="O60" s="132">
        <v>61700</v>
      </c>
      <c r="P60" s="66"/>
      <c r="Q60" s="66">
        <f t="shared" si="30"/>
        <v>61700</v>
      </c>
      <c r="R60" s="132">
        <v>8200</v>
      </c>
      <c r="S60" s="65"/>
      <c r="T60" s="65">
        <f t="shared" si="31"/>
        <v>8200</v>
      </c>
      <c r="U60" s="66"/>
      <c r="V60" s="66"/>
      <c r="W60" s="66">
        <f t="shared" si="32"/>
        <v>0</v>
      </c>
      <c r="X60" s="65"/>
      <c r="Y60" s="65"/>
      <c r="Z60" s="65">
        <f t="shared" si="33"/>
        <v>0</v>
      </c>
      <c r="AA60" s="66"/>
      <c r="AB60" s="66"/>
      <c r="AC60" s="66">
        <f t="shared" si="34"/>
        <v>0</v>
      </c>
      <c r="AD60" s="65"/>
      <c r="AE60" s="65"/>
      <c r="AF60" s="65">
        <f t="shared" si="35"/>
        <v>0</v>
      </c>
      <c r="AG60" s="66"/>
      <c r="AH60" s="66"/>
      <c r="AI60" s="66">
        <f t="shared" si="36"/>
        <v>0</v>
      </c>
      <c r="AJ60" s="65"/>
      <c r="AK60" s="65"/>
      <c r="AL60" s="65">
        <f t="shared" si="37"/>
        <v>0</v>
      </c>
      <c r="AM60" s="66"/>
      <c r="AN60" s="66"/>
      <c r="AO60" s="66">
        <f t="shared" si="38"/>
        <v>0</v>
      </c>
    </row>
    <row r="61" spans="1:41" s="58" customFormat="1" ht="17.25" x14ac:dyDescent="0.3">
      <c r="A61" s="4" t="s">
        <v>19</v>
      </c>
      <c r="B61" s="16"/>
      <c r="C61" s="17">
        <f>SUM(C59:C60)</f>
        <v>2172900</v>
      </c>
      <c r="D61" s="28"/>
      <c r="E61" s="3"/>
      <c r="F61" s="17">
        <f>SUM(F59:F60)</f>
        <v>2010300</v>
      </c>
      <c r="G61" s="17">
        <f t="shared" ref="G61:AO61" si="39">SUM(G59:G60)</f>
        <v>0</v>
      </c>
      <c r="H61" s="17">
        <f t="shared" si="39"/>
        <v>2010300</v>
      </c>
      <c r="I61" s="17">
        <f t="shared" si="39"/>
        <v>0</v>
      </c>
      <c r="J61" s="17">
        <f t="shared" si="39"/>
        <v>0</v>
      </c>
      <c r="K61" s="17">
        <f t="shared" si="39"/>
        <v>0</v>
      </c>
      <c r="L61" s="17">
        <f t="shared" si="39"/>
        <v>0</v>
      </c>
      <c r="M61" s="17">
        <f t="shared" si="39"/>
        <v>0</v>
      </c>
      <c r="N61" s="17">
        <f t="shared" si="39"/>
        <v>0</v>
      </c>
      <c r="O61" s="17">
        <f t="shared" si="39"/>
        <v>61700</v>
      </c>
      <c r="P61" s="17">
        <f t="shared" si="39"/>
        <v>0</v>
      </c>
      <c r="Q61" s="17">
        <f t="shared" si="39"/>
        <v>61700</v>
      </c>
      <c r="R61" s="17">
        <f t="shared" si="39"/>
        <v>100900</v>
      </c>
      <c r="S61" s="17">
        <f t="shared" si="39"/>
        <v>0</v>
      </c>
      <c r="T61" s="17">
        <f t="shared" si="39"/>
        <v>100900</v>
      </c>
      <c r="U61" s="17">
        <f t="shared" si="39"/>
        <v>0</v>
      </c>
      <c r="V61" s="17">
        <f t="shared" si="39"/>
        <v>0</v>
      </c>
      <c r="W61" s="17">
        <f t="shared" si="39"/>
        <v>0</v>
      </c>
      <c r="X61" s="17">
        <f t="shared" si="39"/>
        <v>0</v>
      </c>
      <c r="Y61" s="17">
        <f t="shared" si="39"/>
        <v>0</v>
      </c>
      <c r="Z61" s="17">
        <f t="shared" si="39"/>
        <v>0</v>
      </c>
      <c r="AA61" s="17">
        <f t="shared" si="39"/>
        <v>0</v>
      </c>
      <c r="AB61" s="17">
        <f t="shared" si="39"/>
        <v>0</v>
      </c>
      <c r="AC61" s="17">
        <f t="shared" si="39"/>
        <v>0</v>
      </c>
      <c r="AD61" s="17">
        <f t="shared" si="39"/>
        <v>0</v>
      </c>
      <c r="AE61" s="17">
        <f t="shared" si="39"/>
        <v>0</v>
      </c>
      <c r="AF61" s="17">
        <f t="shared" si="39"/>
        <v>0</v>
      </c>
      <c r="AG61" s="17">
        <f t="shared" si="39"/>
        <v>0</v>
      </c>
      <c r="AH61" s="17">
        <f t="shared" si="39"/>
        <v>0</v>
      </c>
      <c r="AI61" s="17">
        <f t="shared" si="39"/>
        <v>0</v>
      </c>
      <c r="AJ61" s="17">
        <f t="shared" si="39"/>
        <v>0</v>
      </c>
      <c r="AK61" s="17">
        <f t="shared" si="39"/>
        <v>0</v>
      </c>
      <c r="AL61" s="17">
        <f t="shared" si="39"/>
        <v>0</v>
      </c>
      <c r="AM61" s="17">
        <f t="shared" si="39"/>
        <v>0</v>
      </c>
      <c r="AN61" s="17">
        <f t="shared" si="39"/>
        <v>0</v>
      </c>
      <c r="AO61" s="17">
        <f t="shared" si="39"/>
        <v>0</v>
      </c>
    </row>
    <row r="62" spans="1:41" s="58" customFormat="1" ht="17.25" x14ac:dyDescent="0.3">
      <c r="A62" s="4"/>
      <c r="B62" s="16"/>
      <c r="C62" s="19"/>
      <c r="D62" s="28"/>
      <c r="E62" s="3"/>
      <c r="F62" s="65"/>
      <c r="G62" s="65"/>
      <c r="H62" s="65"/>
      <c r="I62" s="66"/>
      <c r="J62" s="66"/>
      <c r="K62" s="66"/>
      <c r="L62" s="65"/>
      <c r="M62" s="65"/>
      <c r="N62" s="65"/>
      <c r="O62" s="66"/>
      <c r="P62" s="66"/>
      <c r="Q62" s="66"/>
      <c r="R62" s="65"/>
      <c r="S62" s="65"/>
      <c r="T62" s="65"/>
      <c r="U62" s="66"/>
      <c r="V62" s="66"/>
      <c r="W62" s="66"/>
      <c r="X62" s="65"/>
      <c r="Y62" s="65"/>
      <c r="Z62" s="65"/>
      <c r="AA62" s="66"/>
      <c r="AB62" s="66"/>
      <c r="AC62" s="66"/>
      <c r="AD62" s="65"/>
      <c r="AE62" s="65"/>
      <c r="AF62" s="65"/>
      <c r="AG62" s="66"/>
      <c r="AH62" s="66"/>
      <c r="AI62" s="66"/>
      <c r="AJ62" s="65"/>
      <c r="AK62" s="65"/>
      <c r="AL62" s="65"/>
      <c r="AM62" s="66"/>
      <c r="AN62" s="66"/>
      <c r="AO62" s="66"/>
    </row>
    <row r="63" spans="1:41" s="58" customFormat="1" ht="17.25" x14ac:dyDescent="0.3">
      <c r="A63" s="70" t="s">
        <v>71</v>
      </c>
      <c r="B63" s="16"/>
      <c r="C63" s="19"/>
      <c r="D63" s="28"/>
      <c r="E63" s="3"/>
      <c r="F63" s="65"/>
      <c r="G63" s="65"/>
      <c r="H63" s="65"/>
      <c r="I63" s="66"/>
      <c r="J63" s="66"/>
      <c r="K63" s="66"/>
      <c r="L63" s="65"/>
      <c r="M63" s="65"/>
      <c r="N63" s="65"/>
      <c r="O63" s="66"/>
      <c r="P63" s="66"/>
      <c r="Q63" s="66"/>
      <c r="R63" s="65"/>
      <c r="S63" s="65"/>
      <c r="T63" s="65"/>
      <c r="U63" s="66"/>
      <c r="V63" s="66"/>
      <c r="W63" s="66"/>
      <c r="X63" s="65"/>
      <c r="Y63" s="65"/>
      <c r="Z63" s="65"/>
      <c r="AA63" s="66"/>
      <c r="AB63" s="66"/>
      <c r="AC63" s="66"/>
      <c r="AD63" s="65"/>
      <c r="AE63" s="65"/>
      <c r="AF63" s="65"/>
      <c r="AG63" s="66"/>
      <c r="AH63" s="66"/>
      <c r="AI63" s="66"/>
      <c r="AJ63" s="65"/>
      <c r="AK63" s="65"/>
      <c r="AL63" s="65"/>
      <c r="AM63" s="66"/>
      <c r="AN63" s="66"/>
      <c r="AO63" s="66"/>
    </row>
    <row r="64" spans="1:41" s="58" customFormat="1" ht="17.25" x14ac:dyDescent="0.3">
      <c r="A64" s="68" t="s">
        <v>72</v>
      </c>
      <c r="B64" s="16"/>
      <c r="C64" s="14">
        <f>H64+K64+N64+Q64+T64+W64+Z64+AC64+AF64+AI64+AL64+AO64</f>
        <v>0</v>
      </c>
      <c r="D64" s="28"/>
      <c r="E64" s="3"/>
      <c r="F64" s="65">
        <v>0</v>
      </c>
      <c r="G64" s="65"/>
      <c r="H64" s="65">
        <f t="shared" si="27"/>
        <v>0</v>
      </c>
      <c r="I64" s="66">
        <v>0</v>
      </c>
      <c r="J64" s="66"/>
      <c r="K64" s="66"/>
      <c r="L64" s="65">
        <v>0</v>
      </c>
      <c r="M64" s="65"/>
      <c r="N64" s="65"/>
      <c r="O64" s="66">
        <v>0</v>
      </c>
      <c r="P64" s="66"/>
      <c r="Q64" s="66"/>
      <c r="R64" s="65">
        <v>0</v>
      </c>
      <c r="S64" s="65"/>
      <c r="T64" s="65"/>
      <c r="U64" s="66"/>
      <c r="V64" s="66"/>
      <c r="W64" s="66"/>
      <c r="X64" s="65"/>
      <c r="Y64" s="65"/>
      <c r="Z64" s="65"/>
      <c r="AA64" s="66"/>
      <c r="AB64" s="66"/>
      <c r="AC64" s="66"/>
      <c r="AD64" s="65"/>
      <c r="AE64" s="65"/>
      <c r="AF64" s="65"/>
      <c r="AG64" s="66"/>
      <c r="AH64" s="66"/>
      <c r="AI64" s="66"/>
      <c r="AJ64" s="65"/>
      <c r="AK64" s="65"/>
      <c r="AL64" s="65"/>
      <c r="AM64" s="66"/>
      <c r="AN64" s="66"/>
      <c r="AO64" s="66"/>
    </row>
    <row r="65" spans="1:41" s="58" customFormat="1" ht="17.25" x14ac:dyDescent="0.3">
      <c r="A65" s="71" t="s">
        <v>73</v>
      </c>
      <c r="B65" s="16"/>
      <c r="C65" s="17">
        <f>SUM(C63:C64)</f>
        <v>0</v>
      </c>
      <c r="D65" s="28"/>
      <c r="E65" s="3"/>
      <c r="F65" s="17">
        <f>SUM(F63:F64)</f>
        <v>0</v>
      </c>
      <c r="G65" s="17">
        <f t="shared" ref="G65:AO65" si="40">SUM(G63:G64)</f>
        <v>0</v>
      </c>
      <c r="H65" s="17">
        <f t="shared" si="40"/>
        <v>0</v>
      </c>
      <c r="I65" s="17">
        <f t="shared" si="40"/>
        <v>0</v>
      </c>
      <c r="J65" s="17">
        <f t="shared" si="40"/>
        <v>0</v>
      </c>
      <c r="K65" s="17">
        <f t="shared" si="40"/>
        <v>0</v>
      </c>
      <c r="L65" s="17">
        <f t="shared" si="40"/>
        <v>0</v>
      </c>
      <c r="M65" s="17">
        <f t="shared" si="40"/>
        <v>0</v>
      </c>
      <c r="N65" s="17">
        <f t="shared" si="40"/>
        <v>0</v>
      </c>
      <c r="O65" s="17">
        <f t="shared" si="40"/>
        <v>0</v>
      </c>
      <c r="P65" s="17">
        <f t="shared" si="40"/>
        <v>0</v>
      </c>
      <c r="Q65" s="17">
        <f t="shared" si="40"/>
        <v>0</v>
      </c>
      <c r="R65" s="17">
        <f t="shared" si="40"/>
        <v>0</v>
      </c>
      <c r="S65" s="17">
        <f t="shared" si="40"/>
        <v>0</v>
      </c>
      <c r="T65" s="17">
        <f t="shared" si="40"/>
        <v>0</v>
      </c>
      <c r="U65" s="17">
        <f t="shared" si="40"/>
        <v>0</v>
      </c>
      <c r="V65" s="17">
        <f t="shared" si="40"/>
        <v>0</v>
      </c>
      <c r="W65" s="17">
        <f t="shared" si="40"/>
        <v>0</v>
      </c>
      <c r="X65" s="17">
        <f t="shared" si="40"/>
        <v>0</v>
      </c>
      <c r="Y65" s="17">
        <f t="shared" si="40"/>
        <v>0</v>
      </c>
      <c r="Z65" s="17">
        <f t="shared" si="40"/>
        <v>0</v>
      </c>
      <c r="AA65" s="17">
        <f t="shared" si="40"/>
        <v>0</v>
      </c>
      <c r="AB65" s="17">
        <f t="shared" si="40"/>
        <v>0</v>
      </c>
      <c r="AC65" s="17">
        <f t="shared" si="40"/>
        <v>0</v>
      </c>
      <c r="AD65" s="17">
        <f t="shared" si="40"/>
        <v>0</v>
      </c>
      <c r="AE65" s="17">
        <f t="shared" si="40"/>
        <v>0</v>
      </c>
      <c r="AF65" s="17">
        <f t="shared" si="40"/>
        <v>0</v>
      </c>
      <c r="AG65" s="17">
        <f t="shared" si="40"/>
        <v>0</v>
      </c>
      <c r="AH65" s="17">
        <f t="shared" si="40"/>
        <v>0</v>
      </c>
      <c r="AI65" s="17">
        <f t="shared" si="40"/>
        <v>0</v>
      </c>
      <c r="AJ65" s="17">
        <f t="shared" si="40"/>
        <v>0</v>
      </c>
      <c r="AK65" s="17">
        <f t="shared" si="40"/>
        <v>0</v>
      </c>
      <c r="AL65" s="17">
        <f t="shared" si="40"/>
        <v>0</v>
      </c>
      <c r="AM65" s="17">
        <f t="shared" si="40"/>
        <v>0</v>
      </c>
      <c r="AN65" s="17">
        <f t="shared" si="40"/>
        <v>0</v>
      </c>
      <c r="AO65" s="17">
        <f t="shared" si="40"/>
        <v>0</v>
      </c>
    </row>
    <row r="66" spans="1:41" s="58" customFormat="1" ht="18.95" customHeight="1" x14ac:dyDescent="0.3">
      <c r="A66" s="70" t="s">
        <v>68</v>
      </c>
      <c r="B66" s="16"/>
      <c r="C66" s="17">
        <f>C61+C65</f>
        <v>2172900</v>
      </c>
      <c r="D66" s="28"/>
      <c r="E66" s="3"/>
      <c r="F66" s="17">
        <f>F61+F65</f>
        <v>2010300</v>
      </c>
      <c r="G66" s="17">
        <f t="shared" ref="G66:AO66" si="41">G61+G65</f>
        <v>0</v>
      </c>
      <c r="H66" s="17">
        <f t="shared" si="41"/>
        <v>2010300</v>
      </c>
      <c r="I66" s="17">
        <f t="shared" si="41"/>
        <v>0</v>
      </c>
      <c r="J66" s="17">
        <f t="shared" si="41"/>
        <v>0</v>
      </c>
      <c r="K66" s="17">
        <f t="shared" si="41"/>
        <v>0</v>
      </c>
      <c r="L66" s="17">
        <f t="shared" si="41"/>
        <v>0</v>
      </c>
      <c r="M66" s="17">
        <f t="shared" si="41"/>
        <v>0</v>
      </c>
      <c r="N66" s="17">
        <f t="shared" si="41"/>
        <v>0</v>
      </c>
      <c r="O66" s="17">
        <f t="shared" si="41"/>
        <v>61700</v>
      </c>
      <c r="P66" s="17">
        <f t="shared" si="41"/>
        <v>0</v>
      </c>
      <c r="Q66" s="17">
        <f t="shared" si="41"/>
        <v>61700</v>
      </c>
      <c r="R66" s="17">
        <f t="shared" si="41"/>
        <v>100900</v>
      </c>
      <c r="S66" s="17">
        <f t="shared" si="41"/>
        <v>0</v>
      </c>
      <c r="T66" s="17">
        <f t="shared" si="41"/>
        <v>100900</v>
      </c>
      <c r="U66" s="17">
        <f t="shared" si="41"/>
        <v>0</v>
      </c>
      <c r="V66" s="17">
        <f t="shared" si="41"/>
        <v>0</v>
      </c>
      <c r="W66" s="17">
        <f t="shared" si="41"/>
        <v>0</v>
      </c>
      <c r="X66" s="17">
        <f t="shared" si="41"/>
        <v>0</v>
      </c>
      <c r="Y66" s="17">
        <f t="shared" si="41"/>
        <v>0</v>
      </c>
      <c r="Z66" s="17">
        <f t="shared" si="41"/>
        <v>0</v>
      </c>
      <c r="AA66" s="17">
        <f t="shared" si="41"/>
        <v>0</v>
      </c>
      <c r="AB66" s="17">
        <f t="shared" si="41"/>
        <v>0</v>
      </c>
      <c r="AC66" s="17">
        <f t="shared" si="41"/>
        <v>0</v>
      </c>
      <c r="AD66" s="17">
        <f t="shared" si="41"/>
        <v>0</v>
      </c>
      <c r="AE66" s="17">
        <f t="shared" si="41"/>
        <v>0</v>
      </c>
      <c r="AF66" s="17">
        <f t="shared" si="41"/>
        <v>0</v>
      </c>
      <c r="AG66" s="17">
        <f t="shared" si="41"/>
        <v>0</v>
      </c>
      <c r="AH66" s="17">
        <f t="shared" si="41"/>
        <v>0</v>
      </c>
      <c r="AI66" s="17">
        <f t="shared" si="41"/>
        <v>0</v>
      </c>
      <c r="AJ66" s="17">
        <f t="shared" si="41"/>
        <v>0</v>
      </c>
      <c r="AK66" s="17">
        <f t="shared" si="41"/>
        <v>0</v>
      </c>
      <c r="AL66" s="17">
        <f t="shared" si="41"/>
        <v>0</v>
      </c>
      <c r="AM66" s="17">
        <f t="shared" si="41"/>
        <v>0</v>
      </c>
      <c r="AN66" s="17">
        <f t="shared" si="41"/>
        <v>0</v>
      </c>
      <c r="AO66" s="17">
        <f t="shared" si="41"/>
        <v>0</v>
      </c>
    </row>
    <row r="67" spans="1:41" s="58" customFormat="1" ht="18.95" customHeight="1" x14ac:dyDescent="0.3">
      <c r="A67" s="15"/>
      <c r="B67" s="16"/>
      <c r="C67" s="28"/>
      <c r="D67" s="28"/>
      <c r="E67" s="3"/>
      <c r="F67" s="65"/>
      <c r="G67" s="65"/>
      <c r="H67" s="65"/>
      <c r="I67" s="66"/>
      <c r="J67" s="66"/>
      <c r="K67" s="66"/>
      <c r="L67" s="65"/>
      <c r="M67" s="65"/>
      <c r="N67" s="65"/>
      <c r="O67" s="66"/>
      <c r="P67" s="66"/>
      <c r="Q67" s="66"/>
      <c r="R67" s="65"/>
      <c r="S67" s="65"/>
      <c r="T67" s="65"/>
      <c r="U67" s="66"/>
      <c r="V67" s="66"/>
      <c r="W67" s="66"/>
      <c r="X67" s="65"/>
      <c r="Y67" s="65"/>
      <c r="Z67" s="65"/>
      <c r="AA67" s="66"/>
      <c r="AB67" s="66"/>
      <c r="AC67" s="66"/>
      <c r="AD67" s="65"/>
      <c r="AE67" s="65"/>
      <c r="AF67" s="65"/>
      <c r="AG67" s="66"/>
      <c r="AH67" s="66"/>
      <c r="AI67" s="66"/>
      <c r="AJ67" s="65"/>
      <c r="AK67" s="65"/>
      <c r="AL67" s="65"/>
      <c r="AM67" s="66"/>
      <c r="AN67" s="66"/>
      <c r="AO67" s="66"/>
    </row>
    <row r="68" spans="1:41" s="58" customFormat="1" ht="17.25" x14ac:dyDescent="0.3">
      <c r="A68" s="70" t="s">
        <v>74</v>
      </c>
      <c r="B68" s="16"/>
      <c r="C68" s="43"/>
      <c r="D68" s="44"/>
      <c r="E68" s="3"/>
      <c r="F68" s="65"/>
      <c r="G68" s="65"/>
      <c r="H68" s="65"/>
      <c r="I68" s="66"/>
      <c r="J68" s="66"/>
      <c r="K68" s="66"/>
      <c r="L68" s="65"/>
      <c r="M68" s="65"/>
      <c r="N68" s="65"/>
      <c r="O68" s="66"/>
      <c r="P68" s="66"/>
      <c r="Q68" s="66"/>
      <c r="R68" s="65"/>
      <c r="S68" s="65"/>
      <c r="T68" s="65"/>
      <c r="U68" s="66"/>
      <c r="V68" s="66"/>
      <c r="W68" s="66"/>
      <c r="X68" s="65"/>
      <c r="Y68" s="65"/>
      <c r="Z68" s="65"/>
      <c r="AA68" s="66"/>
      <c r="AB68" s="66"/>
      <c r="AC68" s="66"/>
      <c r="AD68" s="65"/>
      <c r="AE68" s="65"/>
      <c r="AF68" s="65"/>
      <c r="AG68" s="66"/>
      <c r="AH68" s="66"/>
      <c r="AI68" s="66"/>
      <c r="AJ68" s="65"/>
      <c r="AK68" s="65"/>
      <c r="AL68" s="65"/>
      <c r="AM68" s="66"/>
      <c r="AN68" s="66"/>
      <c r="AO68" s="66"/>
    </row>
    <row r="69" spans="1:41" s="58" customFormat="1" ht="17.25" x14ac:dyDescent="0.3">
      <c r="A69" s="15" t="s">
        <v>21</v>
      </c>
      <c r="B69" s="16"/>
      <c r="C69" s="14">
        <f t="shared" ref="C69" si="42">H69+K69+N69+Q69+T69+W69+Z69+AC69+AF69+AI69+AL69</f>
        <v>0</v>
      </c>
      <c r="D69" s="45"/>
      <c r="E69" s="3"/>
      <c r="F69" s="132">
        <v>0</v>
      </c>
      <c r="G69" s="65"/>
      <c r="H69" s="65">
        <f t="shared" si="27"/>
        <v>0</v>
      </c>
      <c r="I69" s="132">
        <v>0</v>
      </c>
      <c r="J69" s="66"/>
      <c r="K69" s="66">
        <f t="shared" si="28"/>
        <v>0</v>
      </c>
      <c r="L69" s="65">
        <v>0</v>
      </c>
      <c r="M69" s="65"/>
      <c r="N69" s="65">
        <f t="shared" si="29"/>
        <v>0</v>
      </c>
      <c r="O69" s="132">
        <v>0</v>
      </c>
      <c r="P69" s="66"/>
      <c r="Q69" s="66">
        <f t="shared" si="30"/>
        <v>0</v>
      </c>
      <c r="R69" s="132">
        <v>0</v>
      </c>
      <c r="S69" s="65"/>
      <c r="T69" s="65">
        <f t="shared" si="31"/>
        <v>0</v>
      </c>
      <c r="U69" s="132"/>
      <c r="V69" s="66"/>
      <c r="W69" s="66">
        <f t="shared" si="32"/>
        <v>0</v>
      </c>
      <c r="X69" s="132"/>
      <c r="Y69" s="65"/>
      <c r="Z69" s="65">
        <f t="shared" si="33"/>
        <v>0</v>
      </c>
      <c r="AA69" s="132"/>
      <c r="AB69" s="66"/>
      <c r="AC69" s="66">
        <f t="shared" si="34"/>
        <v>0</v>
      </c>
      <c r="AD69" s="65"/>
      <c r="AE69" s="65"/>
      <c r="AF69" s="65">
        <f t="shared" si="35"/>
        <v>0</v>
      </c>
      <c r="AG69" s="66"/>
      <c r="AH69" s="66"/>
      <c r="AI69" s="66">
        <f t="shared" si="36"/>
        <v>0</v>
      </c>
      <c r="AJ69" s="65"/>
      <c r="AK69" s="65"/>
      <c r="AL69" s="65">
        <f t="shared" si="37"/>
        <v>0</v>
      </c>
      <c r="AM69" s="66"/>
      <c r="AN69" s="66"/>
      <c r="AO69" s="66">
        <f t="shared" ref="AO69:AO72" si="43">AM69+AN69</f>
        <v>0</v>
      </c>
    </row>
    <row r="70" spans="1:41" s="58" customFormat="1" ht="17.25" x14ac:dyDescent="0.3">
      <c r="A70" s="15" t="s">
        <v>22</v>
      </c>
      <c r="B70" s="16"/>
      <c r="C70" s="14">
        <f>H70+K70+N70+Q70+T70+W70+Z70+AC70+AF70+AI70+AL70+AO70</f>
        <v>102667</v>
      </c>
      <c r="D70" s="24"/>
      <c r="E70" s="3"/>
      <c r="F70" s="132">
        <v>50603</v>
      </c>
      <c r="G70" s="65"/>
      <c r="H70" s="65">
        <f t="shared" si="27"/>
        <v>50603</v>
      </c>
      <c r="I70" s="132">
        <v>13100</v>
      </c>
      <c r="J70" s="66"/>
      <c r="K70" s="66">
        <f t="shared" si="28"/>
        <v>13100</v>
      </c>
      <c r="L70" s="65">
        <v>0</v>
      </c>
      <c r="M70" s="65"/>
      <c r="N70" s="65">
        <f t="shared" si="29"/>
        <v>0</v>
      </c>
      <c r="O70" s="132">
        <v>38964</v>
      </c>
      <c r="P70" s="66"/>
      <c r="Q70" s="66">
        <f t="shared" si="30"/>
        <v>38964</v>
      </c>
      <c r="R70" s="132">
        <v>0</v>
      </c>
      <c r="S70" s="65"/>
      <c r="T70" s="65">
        <f t="shared" si="31"/>
        <v>0</v>
      </c>
      <c r="U70" s="132"/>
      <c r="V70" s="66"/>
      <c r="W70" s="66">
        <f t="shared" si="32"/>
        <v>0</v>
      </c>
      <c r="X70" s="132">
        <v>0</v>
      </c>
      <c r="Y70" s="65"/>
      <c r="Z70" s="65">
        <f t="shared" si="33"/>
        <v>0</v>
      </c>
      <c r="AA70" s="132">
        <v>0</v>
      </c>
      <c r="AB70" s="66"/>
      <c r="AC70" s="66">
        <f t="shared" si="34"/>
        <v>0</v>
      </c>
      <c r="AD70" s="65"/>
      <c r="AE70" s="65"/>
      <c r="AF70" s="65">
        <f t="shared" si="35"/>
        <v>0</v>
      </c>
      <c r="AG70" s="66"/>
      <c r="AH70" s="66"/>
      <c r="AI70" s="66">
        <f t="shared" si="36"/>
        <v>0</v>
      </c>
      <c r="AJ70" s="65"/>
      <c r="AK70" s="65"/>
      <c r="AL70" s="65">
        <f t="shared" si="37"/>
        <v>0</v>
      </c>
      <c r="AM70" s="66"/>
      <c r="AN70" s="66"/>
      <c r="AO70" s="66">
        <f t="shared" si="43"/>
        <v>0</v>
      </c>
    </row>
    <row r="71" spans="1:41" s="58" customFormat="1" ht="17.25" x14ac:dyDescent="0.3">
      <c r="A71" s="15" t="s">
        <v>23</v>
      </c>
      <c r="B71" s="16"/>
      <c r="C71" s="14">
        <f>H71+K71+N71+Q71+T71+W71+Z71+AC71+AF71+AI71+AL71+AO71</f>
        <v>16629</v>
      </c>
      <c r="D71" s="24"/>
      <c r="E71" s="3"/>
      <c r="F71" s="132">
        <v>16629</v>
      </c>
      <c r="G71" s="120">
        <f>0</f>
        <v>0</v>
      </c>
      <c r="H71" s="65">
        <f t="shared" si="27"/>
        <v>16629</v>
      </c>
      <c r="I71" s="132">
        <v>81948</v>
      </c>
      <c r="J71" s="120">
        <v>-81948</v>
      </c>
      <c r="K71" s="66">
        <f t="shared" si="28"/>
        <v>0</v>
      </c>
      <c r="L71" s="65">
        <v>0</v>
      </c>
      <c r="M71" s="65"/>
      <c r="N71" s="65">
        <f t="shared" si="29"/>
        <v>0</v>
      </c>
      <c r="O71" s="132">
        <v>68335</v>
      </c>
      <c r="P71" s="120">
        <v>-68335</v>
      </c>
      <c r="Q71" s="66">
        <f t="shared" si="30"/>
        <v>0</v>
      </c>
      <c r="R71" s="132">
        <v>402776</v>
      </c>
      <c r="S71" s="120">
        <v>-402776</v>
      </c>
      <c r="T71" s="65">
        <f t="shared" si="31"/>
        <v>0</v>
      </c>
      <c r="U71" s="132">
        <v>12460</v>
      </c>
      <c r="V71" s="120">
        <v>-12460</v>
      </c>
      <c r="W71" s="66">
        <f t="shared" si="32"/>
        <v>0</v>
      </c>
      <c r="X71" s="132">
        <v>0</v>
      </c>
      <c r="Y71" s="65"/>
      <c r="Z71" s="65">
        <f t="shared" si="33"/>
        <v>0</v>
      </c>
      <c r="AA71" s="132">
        <v>0</v>
      </c>
      <c r="AB71" s="120">
        <v>0</v>
      </c>
      <c r="AC71" s="66">
        <f t="shared" si="34"/>
        <v>0</v>
      </c>
      <c r="AD71" s="65">
        <v>0</v>
      </c>
      <c r="AE71" s="120"/>
      <c r="AF71" s="65">
        <f t="shared" si="35"/>
        <v>0</v>
      </c>
      <c r="AG71" s="66"/>
      <c r="AH71" s="66"/>
      <c r="AI71" s="66">
        <f t="shared" si="36"/>
        <v>0</v>
      </c>
      <c r="AJ71" s="65"/>
      <c r="AK71" s="65"/>
      <c r="AL71" s="65">
        <f t="shared" si="37"/>
        <v>0</v>
      </c>
      <c r="AM71" s="66"/>
      <c r="AN71" s="66"/>
      <c r="AO71" s="66">
        <f t="shared" si="43"/>
        <v>0</v>
      </c>
    </row>
    <row r="72" spans="1:41" s="58" customFormat="1" ht="17.25" x14ac:dyDescent="0.3">
      <c r="A72" s="15" t="s">
        <v>24</v>
      </c>
      <c r="B72" s="16"/>
      <c r="C72" s="14">
        <f>H72+K72+N72+Q72+T72+W72+Z72+AC72+AF72+AI72+AL72+AO72</f>
        <v>1999506</v>
      </c>
      <c r="D72" s="24"/>
      <c r="E72" s="3"/>
      <c r="F72" s="132">
        <v>378114</v>
      </c>
      <c r="G72" s="65"/>
      <c r="H72" s="65">
        <f t="shared" si="27"/>
        <v>378114</v>
      </c>
      <c r="I72" s="132">
        <v>345594</v>
      </c>
      <c r="J72" s="66"/>
      <c r="K72" s="66">
        <f t="shared" si="28"/>
        <v>345594</v>
      </c>
      <c r="L72" s="65">
        <v>0</v>
      </c>
      <c r="M72" s="65"/>
      <c r="N72" s="65">
        <f t="shared" si="29"/>
        <v>0</v>
      </c>
      <c r="O72" s="132">
        <v>361226</v>
      </c>
      <c r="P72" s="66"/>
      <c r="Q72" s="66">
        <f t="shared" si="30"/>
        <v>361226</v>
      </c>
      <c r="R72" s="132">
        <v>633242</v>
      </c>
      <c r="S72" s="65"/>
      <c r="T72" s="65">
        <f t="shared" si="31"/>
        <v>633242</v>
      </c>
      <c r="U72" s="132">
        <v>72751</v>
      </c>
      <c r="V72" s="66"/>
      <c r="W72" s="66">
        <f t="shared" si="32"/>
        <v>72751</v>
      </c>
      <c r="X72" s="132">
        <v>108105</v>
      </c>
      <c r="Y72" s="65"/>
      <c r="Z72" s="65">
        <f t="shared" si="33"/>
        <v>108105</v>
      </c>
      <c r="AA72" s="132">
        <v>93574</v>
      </c>
      <c r="AB72" s="66"/>
      <c r="AC72" s="66">
        <f t="shared" si="34"/>
        <v>93574</v>
      </c>
      <c r="AD72" s="65">
        <v>6900</v>
      </c>
      <c r="AE72" s="65"/>
      <c r="AF72" s="65">
        <f t="shared" si="35"/>
        <v>6900</v>
      </c>
      <c r="AG72" s="66"/>
      <c r="AH72" s="66"/>
      <c r="AI72" s="66">
        <f t="shared" si="36"/>
        <v>0</v>
      </c>
      <c r="AJ72" s="65"/>
      <c r="AK72" s="65"/>
      <c r="AL72" s="65">
        <f t="shared" si="37"/>
        <v>0</v>
      </c>
      <c r="AM72" s="66"/>
      <c r="AN72" s="66"/>
      <c r="AO72" s="66">
        <f t="shared" si="43"/>
        <v>0</v>
      </c>
    </row>
    <row r="73" spans="1:41" s="58" customFormat="1" ht="18.95" customHeight="1" x14ac:dyDescent="0.3">
      <c r="A73" s="4" t="s">
        <v>25</v>
      </c>
      <c r="B73" s="16"/>
      <c r="C73" s="17">
        <f>SUM(C69:C72)</f>
        <v>2118802</v>
      </c>
      <c r="D73" s="28"/>
      <c r="E73" s="3"/>
      <c r="F73" s="17">
        <f>SUM(F69:F72)</f>
        <v>445346</v>
      </c>
      <c r="G73" s="17">
        <f t="shared" ref="G73:AO73" si="44">SUM(G69:G72)</f>
        <v>0</v>
      </c>
      <c r="H73" s="17">
        <f t="shared" si="44"/>
        <v>445346</v>
      </c>
      <c r="I73" s="17">
        <f t="shared" si="44"/>
        <v>440642</v>
      </c>
      <c r="J73" s="17">
        <f t="shared" si="44"/>
        <v>-81948</v>
      </c>
      <c r="K73" s="17">
        <f t="shared" si="44"/>
        <v>358694</v>
      </c>
      <c r="L73" s="17">
        <f t="shared" si="44"/>
        <v>0</v>
      </c>
      <c r="M73" s="17">
        <f t="shared" si="44"/>
        <v>0</v>
      </c>
      <c r="N73" s="17">
        <f t="shared" si="44"/>
        <v>0</v>
      </c>
      <c r="O73" s="17">
        <f t="shared" si="44"/>
        <v>468525</v>
      </c>
      <c r="P73" s="17">
        <f t="shared" si="44"/>
        <v>-68335</v>
      </c>
      <c r="Q73" s="17">
        <f t="shared" si="44"/>
        <v>400190</v>
      </c>
      <c r="R73" s="17">
        <f t="shared" si="44"/>
        <v>1036018</v>
      </c>
      <c r="S73" s="17">
        <f t="shared" si="44"/>
        <v>-402776</v>
      </c>
      <c r="T73" s="17">
        <f t="shared" si="44"/>
        <v>633242</v>
      </c>
      <c r="U73" s="17">
        <f t="shared" si="44"/>
        <v>85211</v>
      </c>
      <c r="V73" s="17">
        <f t="shared" si="44"/>
        <v>-12460</v>
      </c>
      <c r="W73" s="17">
        <f t="shared" si="44"/>
        <v>72751</v>
      </c>
      <c r="X73" s="17">
        <f t="shared" si="44"/>
        <v>108105</v>
      </c>
      <c r="Y73" s="17">
        <f t="shared" si="44"/>
        <v>0</v>
      </c>
      <c r="Z73" s="17">
        <f t="shared" si="44"/>
        <v>108105</v>
      </c>
      <c r="AA73" s="17">
        <f t="shared" si="44"/>
        <v>93574</v>
      </c>
      <c r="AB73" s="17">
        <f t="shared" si="44"/>
        <v>0</v>
      </c>
      <c r="AC73" s="17">
        <f t="shared" si="44"/>
        <v>93574</v>
      </c>
      <c r="AD73" s="17">
        <f t="shared" si="44"/>
        <v>6900</v>
      </c>
      <c r="AE73" s="17">
        <f t="shared" si="44"/>
        <v>0</v>
      </c>
      <c r="AF73" s="17">
        <f t="shared" si="44"/>
        <v>6900</v>
      </c>
      <c r="AG73" s="17">
        <f t="shared" si="44"/>
        <v>0</v>
      </c>
      <c r="AH73" s="17">
        <f t="shared" si="44"/>
        <v>0</v>
      </c>
      <c r="AI73" s="17">
        <f t="shared" si="44"/>
        <v>0</v>
      </c>
      <c r="AJ73" s="17">
        <f t="shared" si="44"/>
        <v>0</v>
      </c>
      <c r="AK73" s="17">
        <f t="shared" si="44"/>
        <v>0</v>
      </c>
      <c r="AL73" s="17">
        <f t="shared" si="44"/>
        <v>0</v>
      </c>
      <c r="AM73" s="17">
        <f t="shared" si="44"/>
        <v>0</v>
      </c>
      <c r="AN73" s="17">
        <f t="shared" si="44"/>
        <v>0</v>
      </c>
      <c r="AO73" s="17">
        <f t="shared" si="44"/>
        <v>0</v>
      </c>
    </row>
    <row r="74" spans="1:41" s="58" customFormat="1" ht="18.95" customHeight="1" thickBot="1" x14ac:dyDescent="0.35">
      <c r="A74" s="70" t="s">
        <v>69</v>
      </c>
      <c r="B74" s="16"/>
      <c r="C74" s="17">
        <f>C66+C73</f>
        <v>4291702</v>
      </c>
      <c r="D74" s="28"/>
      <c r="E74" s="3"/>
      <c r="F74" s="17">
        <f t="shared" ref="F74:AO74" si="45">F66+F73</f>
        <v>2455646</v>
      </c>
      <c r="G74" s="17">
        <f t="shared" si="45"/>
        <v>0</v>
      </c>
      <c r="H74" s="17">
        <f t="shared" si="45"/>
        <v>2455646</v>
      </c>
      <c r="I74" s="17">
        <f t="shared" si="45"/>
        <v>440642</v>
      </c>
      <c r="J74" s="17">
        <f t="shared" si="45"/>
        <v>-81948</v>
      </c>
      <c r="K74" s="17">
        <f t="shared" si="45"/>
        <v>358694</v>
      </c>
      <c r="L74" s="17">
        <f t="shared" si="45"/>
        <v>0</v>
      </c>
      <c r="M74" s="17">
        <f t="shared" si="45"/>
        <v>0</v>
      </c>
      <c r="N74" s="17">
        <f t="shared" si="45"/>
        <v>0</v>
      </c>
      <c r="O74" s="17">
        <f t="shared" si="45"/>
        <v>530225</v>
      </c>
      <c r="P74" s="17">
        <f t="shared" si="45"/>
        <v>-68335</v>
      </c>
      <c r="Q74" s="17">
        <f t="shared" si="45"/>
        <v>461890</v>
      </c>
      <c r="R74" s="17">
        <f t="shared" si="45"/>
        <v>1136918</v>
      </c>
      <c r="S74" s="17">
        <f t="shared" si="45"/>
        <v>-402776</v>
      </c>
      <c r="T74" s="17">
        <f t="shared" si="45"/>
        <v>734142</v>
      </c>
      <c r="U74" s="17">
        <f t="shared" si="45"/>
        <v>85211</v>
      </c>
      <c r="V74" s="17">
        <f t="shared" si="45"/>
        <v>-12460</v>
      </c>
      <c r="W74" s="17">
        <f t="shared" si="45"/>
        <v>72751</v>
      </c>
      <c r="X74" s="17">
        <f t="shared" si="45"/>
        <v>108105</v>
      </c>
      <c r="Y74" s="17">
        <f t="shared" si="45"/>
        <v>0</v>
      </c>
      <c r="Z74" s="17">
        <f t="shared" si="45"/>
        <v>108105</v>
      </c>
      <c r="AA74" s="17">
        <f t="shared" si="45"/>
        <v>93574</v>
      </c>
      <c r="AB74" s="17">
        <f t="shared" si="45"/>
        <v>0</v>
      </c>
      <c r="AC74" s="17">
        <f t="shared" si="45"/>
        <v>93574</v>
      </c>
      <c r="AD74" s="17">
        <f t="shared" si="45"/>
        <v>6900</v>
      </c>
      <c r="AE74" s="17">
        <f t="shared" si="45"/>
        <v>0</v>
      </c>
      <c r="AF74" s="17">
        <f t="shared" si="45"/>
        <v>6900</v>
      </c>
      <c r="AG74" s="17">
        <f t="shared" si="45"/>
        <v>0</v>
      </c>
      <c r="AH74" s="17">
        <f t="shared" si="45"/>
        <v>0</v>
      </c>
      <c r="AI74" s="17">
        <f t="shared" si="45"/>
        <v>0</v>
      </c>
      <c r="AJ74" s="17">
        <f t="shared" si="45"/>
        <v>0</v>
      </c>
      <c r="AK74" s="17">
        <f t="shared" si="45"/>
        <v>0</v>
      </c>
      <c r="AL74" s="17">
        <f t="shared" si="45"/>
        <v>0</v>
      </c>
      <c r="AM74" s="17">
        <f t="shared" si="45"/>
        <v>0</v>
      </c>
      <c r="AN74" s="17">
        <f t="shared" si="45"/>
        <v>0</v>
      </c>
      <c r="AO74" s="17">
        <f t="shared" si="45"/>
        <v>0</v>
      </c>
    </row>
    <row r="75" spans="1:41" s="58" customFormat="1" ht="18" thickTop="1" x14ac:dyDescent="0.3">
      <c r="A75" s="15" t="s">
        <v>1</v>
      </c>
      <c r="B75" s="16"/>
      <c r="C75" s="46"/>
      <c r="D75" s="24"/>
      <c r="E75" s="3"/>
      <c r="F75" s="65"/>
      <c r="G75" s="65"/>
      <c r="H75" s="65"/>
      <c r="I75" s="66"/>
      <c r="J75" s="66"/>
      <c r="K75" s="66"/>
      <c r="L75" s="65"/>
      <c r="M75" s="65"/>
      <c r="N75" s="65"/>
      <c r="O75" s="66"/>
      <c r="P75" s="66"/>
      <c r="Q75" s="66"/>
      <c r="R75" s="65"/>
      <c r="S75" s="65"/>
      <c r="T75" s="65"/>
      <c r="U75" s="66"/>
      <c r="V75" s="66"/>
      <c r="W75" s="66"/>
      <c r="X75" s="65"/>
      <c r="Y75" s="65"/>
      <c r="Z75" s="65"/>
      <c r="AA75" s="66"/>
      <c r="AB75" s="66"/>
      <c r="AC75" s="66"/>
      <c r="AD75" s="65"/>
      <c r="AE75" s="65"/>
      <c r="AF75" s="65"/>
      <c r="AG75" s="66"/>
      <c r="AH75" s="66"/>
      <c r="AI75" s="66"/>
      <c r="AJ75" s="65"/>
      <c r="AK75" s="65"/>
      <c r="AL75" s="65"/>
      <c r="AM75" s="66"/>
      <c r="AN75" s="66"/>
      <c r="AO75" s="66"/>
    </row>
    <row r="76" spans="1:41" s="58" customFormat="1" ht="17.25" x14ac:dyDescent="0.3">
      <c r="A76" s="4" t="s">
        <v>26</v>
      </c>
      <c r="B76" s="16"/>
      <c r="C76" s="19"/>
      <c r="D76" s="24"/>
      <c r="E76" s="3"/>
      <c r="F76" s="65"/>
      <c r="G76" s="65"/>
      <c r="H76" s="65"/>
      <c r="I76" s="66"/>
      <c r="J76" s="66"/>
      <c r="K76" s="66"/>
      <c r="L76" s="65"/>
      <c r="M76" s="65"/>
      <c r="N76" s="65"/>
      <c r="O76" s="66"/>
      <c r="P76" s="66"/>
      <c r="Q76" s="66"/>
      <c r="R76" s="65"/>
      <c r="S76" s="65"/>
      <c r="T76" s="65"/>
      <c r="U76" s="66"/>
      <c r="V76" s="66"/>
      <c r="W76" s="66"/>
      <c r="X76" s="65"/>
      <c r="Y76" s="65"/>
      <c r="Z76" s="65"/>
      <c r="AA76" s="66"/>
      <c r="AB76" s="66"/>
      <c r="AC76" s="66"/>
      <c r="AD76" s="65"/>
      <c r="AE76" s="65"/>
      <c r="AF76" s="65"/>
      <c r="AG76" s="66"/>
      <c r="AH76" s="66"/>
      <c r="AI76" s="66"/>
      <c r="AJ76" s="65"/>
      <c r="AK76" s="65"/>
      <c r="AL76" s="65"/>
      <c r="AM76" s="66"/>
      <c r="AN76" s="66"/>
      <c r="AO76" s="66"/>
    </row>
    <row r="77" spans="1:41" s="58" customFormat="1" ht="6.95" customHeight="1" x14ac:dyDescent="0.3">
      <c r="A77" s="4"/>
      <c r="B77" s="16"/>
      <c r="C77" s="19"/>
      <c r="D77" s="24"/>
      <c r="E77" s="3"/>
      <c r="F77" s="65"/>
      <c r="G77" s="65"/>
      <c r="H77" s="65"/>
      <c r="I77" s="66"/>
      <c r="J77" s="66"/>
      <c r="K77" s="66"/>
      <c r="L77" s="65"/>
      <c r="M77" s="65"/>
      <c r="N77" s="65"/>
      <c r="O77" s="66"/>
      <c r="P77" s="66"/>
      <c r="Q77" s="66"/>
      <c r="R77" s="65"/>
      <c r="S77" s="65"/>
      <c r="T77" s="65"/>
      <c r="U77" s="66"/>
      <c r="V77" s="66"/>
      <c r="W77" s="66"/>
      <c r="X77" s="65"/>
      <c r="Y77" s="65"/>
      <c r="Z77" s="65"/>
      <c r="AA77" s="66"/>
      <c r="AB77" s="66"/>
      <c r="AC77" s="66"/>
      <c r="AD77" s="65"/>
      <c r="AE77" s="65"/>
      <c r="AF77" s="65"/>
      <c r="AG77" s="66"/>
      <c r="AH77" s="66"/>
      <c r="AI77" s="66"/>
      <c r="AJ77" s="65"/>
      <c r="AK77" s="65"/>
      <c r="AL77" s="65"/>
      <c r="AM77" s="66"/>
      <c r="AN77" s="66"/>
      <c r="AO77" s="66"/>
    </row>
    <row r="78" spans="1:41" s="58" customFormat="1" ht="17.25" x14ac:dyDescent="0.3">
      <c r="A78" s="4" t="s">
        <v>27</v>
      </c>
      <c r="B78" s="25"/>
      <c r="C78" s="47"/>
      <c r="D78" s="48"/>
      <c r="E78" s="3"/>
      <c r="F78" s="65"/>
      <c r="G78" s="65"/>
      <c r="H78" s="65"/>
      <c r="I78" s="66"/>
      <c r="J78" s="66"/>
      <c r="K78" s="66"/>
      <c r="L78" s="65"/>
      <c r="M78" s="65"/>
      <c r="N78" s="65"/>
      <c r="O78" s="66"/>
      <c r="P78" s="66"/>
      <c r="Q78" s="66"/>
      <c r="R78" s="65"/>
      <c r="S78" s="65"/>
      <c r="T78" s="65"/>
      <c r="U78" s="66"/>
      <c r="V78" s="66"/>
      <c r="W78" s="66"/>
      <c r="X78" s="65"/>
      <c r="Y78" s="65"/>
      <c r="Z78" s="65"/>
      <c r="AA78" s="66"/>
      <c r="AB78" s="66"/>
      <c r="AC78" s="66"/>
      <c r="AD78" s="65"/>
      <c r="AE78" s="65"/>
      <c r="AF78" s="65"/>
      <c r="AG78" s="66"/>
      <c r="AH78" s="66"/>
      <c r="AI78" s="66"/>
      <c r="AJ78" s="65"/>
      <c r="AK78" s="65"/>
      <c r="AL78" s="65"/>
      <c r="AM78" s="66"/>
      <c r="AN78" s="66"/>
      <c r="AO78" s="66"/>
    </row>
    <row r="79" spans="1:41" s="58" customFormat="1" ht="17.25" hidden="1" x14ac:dyDescent="0.3">
      <c r="A79" s="4" t="s">
        <v>28</v>
      </c>
      <c r="B79" s="16"/>
      <c r="C79" s="19"/>
      <c r="D79" s="24"/>
      <c r="E79" s="3"/>
      <c r="F79" s="65"/>
      <c r="G79" s="65"/>
      <c r="H79" s="65"/>
      <c r="I79" s="66"/>
      <c r="J79" s="66"/>
      <c r="K79" s="66"/>
      <c r="L79" s="65"/>
      <c r="M79" s="65"/>
      <c r="N79" s="65"/>
      <c r="O79" s="66"/>
      <c r="P79" s="66"/>
      <c r="Q79" s="66"/>
      <c r="R79" s="65"/>
      <c r="S79" s="65"/>
      <c r="T79" s="65"/>
      <c r="U79" s="66"/>
      <c r="V79" s="66"/>
      <c r="W79" s="66"/>
      <c r="X79" s="65"/>
      <c r="Y79" s="65"/>
      <c r="Z79" s="65"/>
      <c r="AA79" s="66"/>
      <c r="AB79" s="66"/>
      <c r="AC79" s="66"/>
      <c r="AD79" s="65"/>
      <c r="AE79" s="65"/>
      <c r="AF79" s="65"/>
      <c r="AG79" s="66"/>
      <c r="AH79" s="66"/>
      <c r="AI79" s="66"/>
      <c r="AJ79" s="65"/>
      <c r="AK79" s="65"/>
      <c r="AL79" s="65"/>
      <c r="AM79" s="66"/>
      <c r="AN79" s="66"/>
      <c r="AO79" s="66"/>
    </row>
    <row r="80" spans="1:41" s="58" customFormat="1" ht="17.25" hidden="1" x14ac:dyDescent="0.3">
      <c r="A80" s="15" t="s">
        <v>29</v>
      </c>
      <c r="B80" s="16"/>
      <c r="C80" s="19">
        <v>0</v>
      </c>
      <c r="D80" s="24"/>
      <c r="E80" s="3"/>
      <c r="F80" s="65"/>
      <c r="G80" s="65"/>
      <c r="H80" s="65"/>
      <c r="I80" s="66"/>
      <c r="J80" s="66"/>
      <c r="K80" s="66"/>
      <c r="L80" s="65"/>
      <c r="M80" s="65"/>
      <c r="N80" s="65"/>
      <c r="O80" s="66"/>
      <c r="P80" s="66"/>
      <c r="Q80" s="66"/>
      <c r="R80" s="65"/>
      <c r="S80" s="65"/>
      <c r="T80" s="65"/>
      <c r="U80" s="66"/>
      <c r="V80" s="66"/>
      <c r="W80" s="66"/>
      <c r="X80" s="65"/>
      <c r="Y80" s="65"/>
      <c r="Z80" s="65"/>
      <c r="AA80" s="66"/>
      <c r="AB80" s="66"/>
      <c r="AC80" s="66"/>
      <c r="AD80" s="65"/>
      <c r="AE80" s="65"/>
      <c r="AF80" s="65"/>
      <c r="AG80" s="66"/>
      <c r="AH80" s="66"/>
      <c r="AI80" s="66"/>
      <c r="AJ80" s="65"/>
      <c r="AK80" s="65"/>
      <c r="AL80" s="65"/>
      <c r="AM80" s="66"/>
      <c r="AN80" s="66"/>
      <c r="AO80" s="66"/>
    </row>
    <row r="81" spans="1:41" s="58" customFormat="1" ht="17.25" hidden="1" x14ac:dyDescent="0.3">
      <c r="A81" s="4" t="s">
        <v>30</v>
      </c>
      <c r="B81" s="16"/>
      <c r="C81" s="18">
        <f>C80</f>
        <v>0</v>
      </c>
      <c r="D81" s="24"/>
      <c r="E81" s="3"/>
      <c r="F81" s="65"/>
      <c r="G81" s="65"/>
      <c r="H81" s="65"/>
      <c r="I81" s="66"/>
      <c r="J81" s="66"/>
      <c r="K81" s="66"/>
      <c r="L81" s="65"/>
      <c r="M81" s="65"/>
      <c r="N81" s="65"/>
      <c r="O81" s="66"/>
      <c r="P81" s="66"/>
      <c r="Q81" s="66"/>
      <c r="R81" s="65"/>
      <c r="S81" s="65"/>
      <c r="T81" s="65"/>
      <c r="U81" s="66"/>
      <c r="V81" s="66"/>
      <c r="W81" s="66"/>
      <c r="X81" s="65"/>
      <c r="Y81" s="65"/>
      <c r="Z81" s="65"/>
      <c r="AA81" s="66"/>
      <c r="AB81" s="66"/>
      <c r="AC81" s="66"/>
      <c r="AD81" s="65"/>
      <c r="AE81" s="65"/>
      <c r="AF81" s="65"/>
      <c r="AG81" s="66"/>
      <c r="AH81" s="66"/>
      <c r="AI81" s="66"/>
      <c r="AJ81" s="65"/>
      <c r="AK81" s="65"/>
      <c r="AL81" s="65"/>
      <c r="AM81" s="66"/>
      <c r="AN81" s="66"/>
      <c r="AO81" s="66"/>
    </row>
    <row r="82" spans="1:41" s="58" customFormat="1" ht="9.9499999999999993" customHeight="1" x14ac:dyDescent="0.3">
      <c r="A82" s="15"/>
      <c r="B82" s="16"/>
      <c r="C82" s="19"/>
      <c r="D82" s="24"/>
      <c r="E82" s="3"/>
      <c r="F82" s="65"/>
      <c r="G82" s="65"/>
      <c r="H82" s="65"/>
      <c r="I82" s="66"/>
      <c r="J82" s="66"/>
      <c r="K82" s="66"/>
      <c r="L82" s="65"/>
      <c r="M82" s="65"/>
      <c r="N82" s="65"/>
      <c r="O82" s="66"/>
      <c r="P82" s="66"/>
      <c r="Q82" s="66"/>
      <c r="R82" s="65"/>
      <c r="S82" s="65"/>
      <c r="T82" s="65"/>
      <c r="U82" s="66"/>
      <c r="V82" s="66"/>
      <c r="W82" s="66"/>
      <c r="X82" s="65"/>
      <c r="Y82" s="65"/>
      <c r="Z82" s="65"/>
      <c r="AA82" s="66"/>
      <c r="AB82" s="66"/>
      <c r="AC82" s="66"/>
      <c r="AD82" s="65"/>
      <c r="AE82" s="65"/>
      <c r="AF82" s="65"/>
      <c r="AG82" s="66"/>
      <c r="AH82" s="66"/>
      <c r="AI82" s="66"/>
      <c r="AJ82" s="65"/>
      <c r="AK82" s="65"/>
      <c r="AL82" s="65"/>
      <c r="AM82" s="66"/>
      <c r="AN82" s="66"/>
      <c r="AO82" s="66"/>
    </row>
    <row r="83" spans="1:41" s="58" customFormat="1" ht="17.25" x14ac:dyDescent="0.3">
      <c r="A83" s="15" t="s">
        <v>31</v>
      </c>
      <c r="B83" s="16"/>
      <c r="C83" s="14">
        <f>H83+K83+N83+Q83+T83+W83+Z83+AC83+AF83+AI83+AL83+AO83</f>
        <v>4071622</v>
      </c>
      <c r="D83" s="24"/>
      <c r="E83" s="3"/>
      <c r="F83" s="132">
        <v>1795013</v>
      </c>
      <c r="G83" s="65"/>
      <c r="H83" s="65">
        <f t="shared" si="27"/>
        <v>1795013</v>
      </c>
      <c r="I83" s="132">
        <v>365975</v>
      </c>
      <c r="J83" s="66"/>
      <c r="K83" s="66">
        <f t="shared" si="28"/>
        <v>365975</v>
      </c>
      <c r="L83" s="65">
        <v>0</v>
      </c>
      <c r="M83" s="65"/>
      <c r="N83" s="65">
        <f t="shared" si="29"/>
        <v>0</v>
      </c>
      <c r="O83" s="132">
        <v>505225</v>
      </c>
      <c r="P83" s="66"/>
      <c r="Q83" s="66">
        <f t="shared" si="30"/>
        <v>505225</v>
      </c>
      <c r="R83" s="132">
        <v>1136918</v>
      </c>
      <c r="S83" s="65"/>
      <c r="T83" s="65">
        <f t="shared" si="31"/>
        <v>1136918</v>
      </c>
      <c r="U83" s="132">
        <v>65912</v>
      </c>
      <c r="V83" s="66"/>
      <c r="W83" s="66">
        <f t="shared" si="32"/>
        <v>65912</v>
      </c>
      <c r="X83" s="132">
        <v>108105</v>
      </c>
      <c r="Y83" s="65"/>
      <c r="Z83" s="65">
        <f t="shared" si="33"/>
        <v>108105</v>
      </c>
      <c r="AA83" s="132">
        <v>87574</v>
      </c>
      <c r="AB83" s="66"/>
      <c r="AC83" s="66">
        <f t="shared" si="34"/>
        <v>87574</v>
      </c>
      <c r="AD83" s="65">
        <v>6900</v>
      </c>
      <c r="AE83" s="65"/>
      <c r="AF83" s="65">
        <f t="shared" si="35"/>
        <v>6900</v>
      </c>
      <c r="AG83" s="66"/>
      <c r="AH83" s="66"/>
      <c r="AI83" s="66">
        <f t="shared" si="36"/>
        <v>0</v>
      </c>
      <c r="AJ83" s="65"/>
      <c r="AK83" s="65"/>
      <c r="AL83" s="65">
        <f t="shared" si="37"/>
        <v>0</v>
      </c>
      <c r="AM83" s="66"/>
      <c r="AN83" s="66"/>
      <c r="AO83" s="66">
        <f t="shared" ref="AO83" si="46">AM83+AN83</f>
        <v>0</v>
      </c>
    </row>
    <row r="84" spans="1:41" s="58" customFormat="1" ht="18.95" customHeight="1" x14ac:dyDescent="0.3">
      <c r="A84" s="4" t="s">
        <v>32</v>
      </c>
      <c r="B84" s="16"/>
      <c r="C84" s="17">
        <f>C83</f>
        <v>4071622</v>
      </c>
      <c r="D84" s="28"/>
      <c r="E84" s="3"/>
      <c r="F84" s="17">
        <f>F83</f>
        <v>1795013</v>
      </c>
      <c r="G84" s="17">
        <f t="shared" ref="G84:AO84" si="47">G83</f>
        <v>0</v>
      </c>
      <c r="H84" s="17">
        <f t="shared" si="47"/>
        <v>1795013</v>
      </c>
      <c r="I84" s="17">
        <f t="shared" si="47"/>
        <v>365975</v>
      </c>
      <c r="J84" s="17">
        <f t="shared" si="47"/>
        <v>0</v>
      </c>
      <c r="K84" s="17">
        <f t="shared" si="47"/>
        <v>365975</v>
      </c>
      <c r="L84" s="17">
        <f t="shared" si="47"/>
        <v>0</v>
      </c>
      <c r="M84" s="17">
        <f t="shared" si="47"/>
        <v>0</v>
      </c>
      <c r="N84" s="17">
        <f t="shared" si="47"/>
        <v>0</v>
      </c>
      <c r="O84" s="17">
        <f t="shared" si="47"/>
        <v>505225</v>
      </c>
      <c r="P84" s="17">
        <f t="shared" si="47"/>
        <v>0</v>
      </c>
      <c r="Q84" s="17">
        <f t="shared" si="47"/>
        <v>505225</v>
      </c>
      <c r="R84" s="17">
        <f t="shared" si="47"/>
        <v>1136918</v>
      </c>
      <c r="S84" s="17">
        <f t="shared" si="47"/>
        <v>0</v>
      </c>
      <c r="T84" s="17">
        <f t="shared" si="47"/>
        <v>1136918</v>
      </c>
      <c r="U84" s="17">
        <f t="shared" si="47"/>
        <v>65912</v>
      </c>
      <c r="V84" s="17">
        <f t="shared" si="47"/>
        <v>0</v>
      </c>
      <c r="W84" s="17">
        <f t="shared" si="47"/>
        <v>65912</v>
      </c>
      <c r="X84" s="17">
        <f t="shared" si="47"/>
        <v>108105</v>
      </c>
      <c r="Y84" s="17">
        <f t="shared" si="47"/>
        <v>0</v>
      </c>
      <c r="Z84" s="17">
        <f t="shared" si="47"/>
        <v>108105</v>
      </c>
      <c r="AA84" s="17">
        <f t="shared" si="47"/>
        <v>87574</v>
      </c>
      <c r="AB84" s="17">
        <f t="shared" si="47"/>
        <v>0</v>
      </c>
      <c r="AC84" s="17">
        <f t="shared" si="47"/>
        <v>87574</v>
      </c>
      <c r="AD84" s="17">
        <f t="shared" si="47"/>
        <v>6900</v>
      </c>
      <c r="AE84" s="17">
        <f t="shared" si="47"/>
        <v>0</v>
      </c>
      <c r="AF84" s="17">
        <f t="shared" si="47"/>
        <v>6900</v>
      </c>
      <c r="AG84" s="17">
        <f t="shared" si="47"/>
        <v>0</v>
      </c>
      <c r="AH84" s="17">
        <f t="shared" si="47"/>
        <v>0</v>
      </c>
      <c r="AI84" s="17">
        <f t="shared" si="47"/>
        <v>0</v>
      </c>
      <c r="AJ84" s="17">
        <f t="shared" si="47"/>
        <v>0</v>
      </c>
      <c r="AK84" s="17">
        <f t="shared" si="47"/>
        <v>0</v>
      </c>
      <c r="AL84" s="17">
        <f t="shared" si="47"/>
        <v>0</v>
      </c>
      <c r="AM84" s="17">
        <f t="shared" si="47"/>
        <v>0</v>
      </c>
      <c r="AN84" s="17">
        <f t="shared" si="47"/>
        <v>0</v>
      </c>
      <c r="AO84" s="17">
        <f t="shared" si="47"/>
        <v>0</v>
      </c>
    </row>
    <row r="85" spans="1:41" s="58" customFormat="1" ht="9.9499999999999993" customHeight="1" x14ac:dyDescent="0.3">
      <c r="A85" s="4"/>
      <c r="B85" s="16"/>
      <c r="C85" s="17"/>
      <c r="D85" s="28"/>
      <c r="E85" s="3"/>
      <c r="F85" s="65"/>
      <c r="G85" s="65"/>
      <c r="H85" s="65"/>
      <c r="I85" s="66"/>
      <c r="J85" s="66"/>
      <c r="K85" s="66"/>
      <c r="L85" s="65"/>
      <c r="M85" s="65"/>
      <c r="N85" s="65"/>
      <c r="O85" s="66"/>
      <c r="P85" s="66"/>
      <c r="Q85" s="66"/>
      <c r="R85" s="65"/>
      <c r="S85" s="65"/>
      <c r="T85" s="65"/>
      <c r="U85" s="66"/>
      <c r="V85" s="66"/>
      <c r="W85" s="66"/>
      <c r="X85" s="65"/>
      <c r="Y85" s="65"/>
      <c r="Z85" s="65"/>
      <c r="AA85" s="66"/>
      <c r="AB85" s="66"/>
      <c r="AC85" s="66"/>
      <c r="AD85" s="65"/>
      <c r="AE85" s="65"/>
      <c r="AF85" s="65"/>
      <c r="AG85" s="66"/>
      <c r="AH85" s="66"/>
      <c r="AI85" s="66"/>
      <c r="AJ85" s="65"/>
      <c r="AK85" s="65"/>
      <c r="AL85" s="65"/>
      <c r="AM85" s="66"/>
      <c r="AN85" s="66"/>
      <c r="AO85" s="66"/>
    </row>
    <row r="86" spans="1:41" s="58" customFormat="1" ht="17.25" x14ac:dyDescent="0.3">
      <c r="A86" s="4" t="s">
        <v>33</v>
      </c>
      <c r="B86" s="16"/>
      <c r="C86" s="28"/>
      <c r="D86" s="28"/>
      <c r="E86" s="3"/>
      <c r="F86" s="65"/>
      <c r="G86" s="65"/>
      <c r="H86" s="65">
        <f t="shared" si="27"/>
        <v>0</v>
      </c>
      <c r="I86" s="66"/>
      <c r="J86" s="66"/>
      <c r="K86" s="66">
        <f t="shared" si="28"/>
        <v>0</v>
      </c>
      <c r="L86" s="65"/>
      <c r="M86" s="65"/>
      <c r="N86" s="65">
        <f t="shared" si="29"/>
        <v>0</v>
      </c>
      <c r="O86" s="66"/>
      <c r="P86" s="66"/>
      <c r="Q86" s="66">
        <f t="shared" si="30"/>
        <v>0</v>
      </c>
      <c r="R86" s="65"/>
      <c r="S86" s="65"/>
      <c r="T86" s="65">
        <f t="shared" si="31"/>
        <v>0</v>
      </c>
      <c r="U86" s="66"/>
      <c r="V86" s="66"/>
      <c r="W86" s="66">
        <f t="shared" si="32"/>
        <v>0</v>
      </c>
      <c r="X86" s="65"/>
      <c r="Y86" s="65"/>
      <c r="Z86" s="65">
        <f t="shared" si="33"/>
        <v>0</v>
      </c>
      <c r="AA86" s="66"/>
      <c r="AB86" s="66"/>
      <c r="AC86" s="66">
        <f t="shared" si="34"/>
        <v>0</v>
      </c>
      <c r="AD86" s="65"/>
      <c r="AE86" s="65"/>
      <c r="AF86" s="65">
        <f t="shared" si="35"/>
        <v>0</v>
      </c>
      <c r="AG86" s="66"/>
      <c r="AH86" s="66"/>
      <c r="AI86" s="66">
        <f t="shared" si="36"/>
        <v>0</v>
      </c>
      <c r="AJ86" s="65"/>
      <c r="AK86" s="65"/>
      <c r="AL86" s="65">
        <f t="shared" si="37"/>
        <v>0</v>
      </c>
      <c r="AM86" s="66"/>
      <c r="AN86" s="66"/>
      <c r="AO86" s="66">
        <f t="shared" ref="AO86:AO88" si="48">AM86+AN86</f>
        <v>0</v>
      </c>
    </row>
    <row r="87" spans="1:41" s="58" customFormat="1" ht="17.25" x14ac:dyDescent="0.3">
      <c r="A87" s="70" t="s">
        <v>78</v>
      </c>
      <c r="B87" s="16"/>
      <c r="C87" s="21"/>
      <c r="D87" s="28"/>
      <c r="E87" s="3"/>
      <c r="F87" s="65"/>
      <c r="G87" s="65"/>
      <c r="H87" s="65">
        <f t="shared" si="27"/>
        <v>0</v>
      </c>
      <c r="I87" s="66"/>
      <c r="J87" s="66"/>
      <c r="K87" s="66">
        <f t="shared" si="28"/>
        <v>0</v>
      </c>
      <c r="L87" s="65"/>
      <c r="M87" s="65"/>
      <c r="N87" s="65">
        <f t="shared" si="29"/>
        <v>0</v>
      </c>
      <c r="O87" s="66"/>
      <c r="P87" s="66"/>
      <c r="Q87" s="66">
        <f t="shared" si="30"/>
        <v>0</v>
      </c>
      <c r="R87" s="65"/>
      <c r="S87" s="65"/>
      <c r="T87" s="65">
        <f t="shared" si="31"/>
        <v>0</v>
      </c>
      <c r="U87" s="66"/>
      <c r="V87" s="66"/>
      <c r="W87" s="66">
        <f t="shared" si="32"/>
        <v>0</v>
      </c>
      <c r="X87" s="65"/>
      <c r="Y87" s="65"/>
      <c r="Z87" s="65">
        <f t="shared" si="33"/>
        <v>0</v>
      </c>
      <c r="AA87" s="66"/>
      <c r="AB87" s="66"/>
      <c r="AC87" s="66">
        <f t="shared" si="34"/>
        <v>0</v>
      </c>
      <c r="AD87" s="65"/>
      <c r="AE87" s="65"/>
      <c r="AF87" s="65">
        <f t="shared" si="35"/>
        <v>0</v>
      </c>
      <c r="AG87" s="66"/>
      <c r="AH87" s="66"/>
      <c r="AI87" s="66">
        <f t="shared" si="36"/>
        <v>0</v>
      </c>
      <c r="AJ87" s="65"/>
      <c r="AK87" s="65"/>
      <c r="AL87" s="65">
        <f t="shared" si="37"/>
        <v>0</v>
      </c>
      <c r="AM87" s="66"/>
      <c r="AN87" s="66"/>
      <c r="AO87" s="66">
        <f t="shared" si="48"/>
        <v>0</v>
      </c>
    </row>
    <row r="88" spans="1:41" s="58" customFormat="1" ht="17.25" x14ac:dyDescent="0.3">
      <c r="A88" s="15" t="s">
        <v>34</v>
      </c>
      <c r="B88" s="16"/>
      <c r="C88" s="14">
        <f>H88+K88+N88+Q88+T88+W88+Z88+AC88+AF88+AI88+AL88+AO88</f>
        <v>0</v>
      </c>
      <c r="D88" s="28"/>
      <c r="E88" s="3"/>
      <c r="F88" s="132">
        <v>0</v>
      </c>
      <c r="G88" s="65"/>
      <c r="H88" s="65">
        <f t="shared" si="27"/>
        <v>0</v>
      </c>
      <c r="I88" s="132">
        <v>0</v>
      </c>
      <c r="J88" s="66"/>
      <c r="K88" s="66">
        <f t="shared" si="28"/>
        <v>0</v>
      </c>
      <c r="L88" s="65">
        <v>0</v>
      </c>
      <c r="M88" s="65"/>
      <c r="N88" s="65">
        <f t="shared" si="29"/>
        <v>0</v>
      </c>
      <c r="O88" s="132">
        <v>0</v>
      </c>
      <c r="P88" s="66"/>
      <c r="Q88" s="66">
        <f t="shared" si="30"/>
        <v>0</v>
      </c>
      <c r="R88" s="132">
        <v>0</v>
      </c>
      <c r="S88" s="65"/>
      <c r="T88" s="65">
        <f t="shared" si="31"/>
        <v>0</v>
      </c>
      <c r="U88" s="132">
        <v>0</v>
      </c>
      <c r="V88" s="66"/>
      <c r="W88" s="66">
        <f t="shared" si="32"/>
        <v>0</v>
      </c>
      <c r="X88" s="65"/>
      <c r="Y88" s="65"/>
      <c r="Z88" s="65">
        <f t="shared" si="33"/>
        <v>0</v>
      </c>
      <c r="AA88" s="66"/>
      <c r="AB88" s="66"/>
      <c r="AC88" s="66">
        <f t="shared" si="34"/>
        <v>0</v>
      </c>
      <c r="AD88" s="65"/>
      <c r="AE88" s="65"/>
      <c r="AF88" s="65">
        <f t="shared" si="35"/>
        <v>0</v>
      </c>
      <c r="AG88" s="66"/>
      <c r="AH88" s="66"/>
      <c r="AI88" s="66">
        <f t="shared" si="36"/>
        <v>0</v>
      </c>
      <c r="AJ88" s="65"/>
      <c r="AK88" s="65"/>
      <c r="AL88" s="65">
        <f t="shared" si="37"/>
        <v>0</v>
      </c>
      <c r="AM88" s="66"/>
      <c r="AN88" s="66"/>
      <c r="AO88" s="66">
        <f t="shared" si="48"/>
        <v>0</v>
      </c>
    </row>
    <row r="89" spans="1:41" s="58" customFormat="1" ht="17.25" x14ac:dyDescent="0.3">
      <c r="A89" s="71" t="s">
        <v>77</v>
      </c>
      <c r="B89" s="16"/>
      <c r="C89" s="17">
        <f>C88</f>
        <v>0</v>
      </c>
      <c r="D89" s="28"/>
      <c r="E89" s="3"/>
      <c r="F89" s="17">
        <f>F88</f>
        <v>0</v>
      </c>
      <c r="G89" s="17">
        <f t="shared" ref="G89:AO89" si="49">G88</f>
        <v>0</v>
      </c>
      <c r="H89" s="17">
        <f t="shared" si="49"/>
        <v>0</v>
      </c>
      <c r="I89" s="17">
        <f t="shared" si="49"/>
        <v>0</v>
      </c>
      <c r="J89" s="17">
        <f t="shared" si="49"/>
        <v>0</v>
      </c>
      <c r="K89" s="17">
        <f t="shared" si="49"/>
        <v>0</v>
      </c>
      <c r="L89" s="17">
        <f t="shared" si="49"/>
        <v>0</v>
      </c>
      <c r="M89" s="17">
        <f t="shared" si="49"/>
        <v>0</v>
      </c>
      <c r="N89" s="17">
        <f t="shared" si="49"/>
        <v>0</v>
      </c>
      <c r="O89" s="17">
        <f t="shared" si="49"/>
        <v>0</v>
      </c>
      <c r="P89" s="17">
        <f t="shared" si="49"/>
        <v>0</v>
      </c>
      <c r="Q89" s="17">
        <f t="shared" si="49"/>
        <v>0</v>
      </c>
      <c r="R89" s="17">
        <f t="shared" si="49"/>
        <v>0</v>
      </c>
      <c r="S89" s="17">
        <f t="shared" si="49"/>
        <v>0</v>
      </c>
      <c r="T89" s="17">
        <f t="shared" si="49"/>
        <v>0</v>
      </c>
      <c r="U89" s="17">
        <f t="shared" si="49"/>
        <v>0</v>
      </c>
      <c r="V89" s="17">
        <f t="shared" si="49"/>
        <v>0</v>
      </c>
      <c r="W89" s="17">
        <f t="shared" si="49"/>
        <v>0</v>
      </c>
      <c r="X89" s="17">
        <f t="shared" si="49"/>
        <v>0</v>
      </c>
      <c r="Y89" s="17">
        <f t="shared" si="49"/>
        <v>0</v>
      </c>
      <c r="Z89" s="17">
        <f t="shared" si="49"/>
        <v>0</v>
      </c>
      <c r="AA89" s="17">
        <f t="shared" si="49"/>
        <v>0</v>
      </c>
      <c r="AB89" s="17">
        <f t="shared" si="49"/>
        <v>0</v>
      </c>
      <c r="AC89" s="17">
        <f t="shared" si="49"/>
        <v>0</v>
      </c>
      <c r="AD89" s="17">
        <f t="shared" si="49"/>
        <v>0</v>
      </c>
      <c r="AE89" s="17">
        <f t="shared" si="49"/>
        <v>0</v>
      </c>
      <c r="AF89" s="17">
        <f t="shared" si="49"/>
        <v>0</v>
      </c>
      <c r="AG89" s="17">
        <f t="shared" si="49"/>
        <v>0</v>
      </c>
      <c r="AH89" s="17">
        <f t="shared" si="49"/>
        <v>0</v>
      </c>
      <c r="AI89" s="17">
        <f t="shared" si="49"/>
        <v>0</v>
      </c>
      <c r="AJ89" s="17">
        <f t="shared" si="49"/>
        <v>0</v>
      </c>
      <c r="AK89" s="17">
        <f t="shared" si="49"/>
        <v>0</v>
      </c>
      <c r="AL89" s="17">
        <f t="shared" si="49"/>
        <v>0</v>
      </c>
      <c r="AM89" s="17">
        <f t="shared" si="49"/>
        <v>0</v>
      </c>
      <c r="AN89" s="17">
        <f t="shared" si="49"/>
        <v>0</v>
      </c>
      <c r="AO89" s="17">
        <f t="shared" si="49"/>
        <v>0</v>
      </c>
    </row>
    <row r="90" spans="1:41" s="58" customFormat="1" ht="11.1" customHeight="1" x14ac:dyDescent="0.3">
      <c r="A90" s="15"/>
      <c r="B90" s="16"/>
      <c r="C90" s="24"/>
      <c r="D90" s="24"/>
      <c r="E90" s="3"/>
      <c r="F90" s="65"/>
      <c r="G90" s="65"/>
      <c r="H90" s="65"/>
      <c r="I90" s="66"/>
      <c r="J90" s="66"/>
      <c r="K90" s="66"/>
      <c r="L90" s="65"/>
      <c r="M90" s="65"/>
      <c r="N90" s="65"/>
      <c r="O90" s="66"/>
      <c r="P90" s="66"/>
      <c r="Q90" s="66"/>
      <c r="R90" s="65"/>
      <c r="S90" s="65"/>
      <c r="T90" s="65"/>
      <c r="U90" s="66"/>
      <c r="V90" s="66"/>
      <c r="W90" s="66"/>
      <c r="X90" s="65"/>
      <c r="Y90" s="65"/>
      <c r="Z90" s="65"/>
      <c r="AA90" s="66"/>
      <c r="AB90" s="66"/>
      <c r="AC90" s="66"/>
      <c r="AD90" s="65"/>
      <c r="AE90" s="65"/>
      <c r="AF90" s="65"/>
      <c r="AG90" s="66"/>
      <c r="AH90" s="66"/>
      <c r="AI90" s="66"/>
      <c r="AJ90" s="65"/>
      <c r="AK90" s="65"/>
      <c r="AL90" s="65"/>
      <c r="AM90" s="66"/>
      <c r="AN90" s="66"/>
      <c r="AO90" s="66"/>
    </row>
    <row r="91" spans="1:41" s="58" customFormat="1" ht="17.25" x14ac:dyDescent="0.3">
      <c r="A91" s="70" t="s">
        <v>79</v>
      </c>
      <c r="B91" s="16"/>
      <c r="C91" s="19"/>
      <c r="D91" s="24"/>
      <c r="E91" s="3"/>
      <c r="F91" s="65"/>
      <c r="G91" s="65"/>
      <c r="H91" s="65"/>
      <c r="I91" s="66"/>
      <c r="J91" s="66"/>
      <c r="K91" s="66"/>
      <c r="L91" s="65"/>
      <c r="M91" s="65"/>
      <c r="N91" s="65"/>
      <c r="O91" s="66"/>
      <c r="P91" s="66"/>
      <c r="Q91" s="66"/>
      <c r="R91" s="65"/>
      <c r="S91" s="65"/>
      <c r="T91" s="65"/>
      <c r="U91" s="66"/>
      <c r="V91" s="66"/>
      <c r="W91" s="66"/>
      <c r="X91" s="65"/>
      <c r="Y91" s="65"/>
      <c r="Z91" s="65"/>
      <c r="AA91" s="66"/>
      <c r="AB91" s="66"/>
      <c r="AC91" s="66"/>
      <c r="AD91" s="65"/>
      <c r="AE91" s="65"/>
      <c r="AF91" s="65"/>
      <c r="AG91" s="66"/>
      <c r="AH91" s="66"/>
      <c r="AI91" s="66"/>
      <c r="AJ91" s="65"/>
      <c r="AK91" s="65"/>
      <c r="AL91" s="65"/>
      <c r="AM91" s="66"/>
      <c r="AN91" s="66"/>
      <c r="AO91" s="66"/>
    </row>
    <row r="92" spans="1:41" s="58" customFormat="1" ht="17.25" x14ac:dyDescent="0.3">
      <c r="A92" s="68" t="s">
        <v>75</v>
      </c>
      <c r="B92" s="16"/>
      <c r="C92" s="14">
        <f>H92+K92+N92+Q92+T92+W92+Z92+AC92+AF92+AI92+AL92+AO92</f>
        <v>0</v>
      </c>
      <c r="D92" s="24"/>
      <c r="E92" s="3"/>
      <c r="F92" s="132">
        <v>0</v>
      </c>
      <c r="G92" s="65"/>
      <c r="H92" s="65">
        <f t="shared" si="27"/>
        <v>0</v>
      </c>
      <c r="I92" s="132"/>
      <c r="J92" s="66"/>
      <c r="K92" s="66">
        <f t="shared" si="28"/>
        <v>0</v>
      </c>
      <c r="L92" s="65">
        <v>0</v>
      </c>
      <c r="M92" s="65"/>
      <c r="N92" s="65">
        <f t="shared" si="29"/>
        <v>0</v>
      </c>
      <c r="O92" s="132">
        <v>0</v>
      </c>
      <c r="P92" s="66"/>
      <c r="Q92" s="66">
        <f t="shared" si="30"/>
        <v>0</v>
      </c>
      <c r="R92" s="132">
        <v>0</v>
      </c>
      <c r="S92" s="65"/>
      <c r="T92" s="65">
        <f t="shared" si="31"/>
        <v>0</v>
      </c>
      <c r="U92" s="132">
        <v>0</v>
      </c>
      <c r="V92" s="66"/>
      <c r="W92" s="66">
        <f t="shared" si="32"/>
        <v>0</v>
      </c>
      <c r="X92" s="65"/>
      <c r="Y92" s="65"/>
      <c r="Z92" s="65">
        <f t="shared" si="33"/>
        <v>0</v>
      </c>
      <c r="AA92" s="66"/>
      <c r="AB92" s="66"/>
      <c r="AC92" s="66">
        <f t="shared" si="34"/>
        <v>0</v>
      </c>
      <c r="AD92" s="65"/>
      <c r="AE92" s="65"/>
      <c r="AF92" s="65">
        <f t="shared" si="35"/>
        <v>0</v>
      </c>
      <c r="AG92" s="66"/>
      <c r="AH92" s="66"/>
      <c r="AI92" s="66">
        <f t="shared" si="36"/>
        <v>0</v>
      </c>
      <c r="AJ92" s="65"/>
      <c r="AK92" s="65"/>
      <c r="AL92" s="65">
        <f t="shared" si="37"/>
        <v>0</v>
      </c>
      <c r="AM92" s="66"/>
      <c r="AN92" s="66"/>
      <c r="AO92" s="66">
        <f t="shared" ref="AO92:AO95" si="50">AM92+AN92</f>
        <v>0</v>
      </c>
    </row>
    <row r="93" spans="1:41" s="58" customFormat="1" ht="17.25" x14ac:dyDescent="0.3">
      <c r="A93" s="15" t="s">
        <v>35</v>
      </c>
      <c r="B93" s="16"/>
      <c r="C93" s="14">
        <f>H93+K93+N93+Q93+T93+W93+Z93+AC93+AF93+AI93+AL93+AO93</f>
        <v>80436</v>
      </c>
      <c r="D93" s="24"/>
      <c r="E93" s="3"/>
      <c r="F93" s="132">
        <v>26053</v>
      </c>
      <c r="G93" s="65"/>
      <c r="H93" s="65">
        <f t="shared" si="27"/>
        <v>26053</v>
      </c>
      <c r="I93" s="132">
        <v>48867</v>
      </c>
      <c r="J93" s="66"/>
      <c r="K93" s="66">
        <f t="shared" si="28"/>
        <v>48867</v>
      </c>
      <c r="L93" s="65">
        <v>0</v>
      </c>
      <c r="M93" s="65"/>
      <c r="N93" s="65">
        <f t="shared" si="29"/>
        <v>0</v>
      </c>
      <c r="O93" s="132">
        <v>0</v>
      </c>
      <c r="P93" s="66"/>
      <c r="Q93" s="66">
        <f t="shared" si="30"/>
        <v>0</v>
      </c>
      <c r="R93" s="132">
        <v>0</v>
      </c>
      <c r="S93" s="65"/>
      <c r="T93" s="65">
        <f t="shared" si="31"/>
        <v>0</v>
      </c>
      <c r="U93" s="132">
        <v>5516</v>
      </c>
      <c r="V93" s="66"/>
      <c r="W93" s="66">
        <f t="shared" si="32"/>
        <v>5516</v>
      </c>
      <c r="X93" s="65">
        <v>0</v>
      </c>
      <c r="Y93" s="65"/>
      <c r="Z93" s="65">
        <f t="shared" si="33"/>
        <v>0</v>
      </c>
      <c r="AA93" s="66">
        <v>0</v>
      </c>
      <c r="AB93" s="66"/>
      <c r="AC93" s="66">
        <f t="shared" si="34"/>
        <v>0</v>
      </c>
      <c r="AD93" s="65"/>
      <c r="AE93" s="65"/>
      <c r="AF93" s="65">
        <f t="shared" si="35"/>
        <v>0</v>
      </c>
      <c r="AG93" s="66"/>
      <c r="AH93" s="66"/>
      <c r="AI93" s="66">
        <f t="shared" si="36"/>
        <v>0</v>
      </c>
      <c r="AJ93" s="65"/>
      <c r="AK93" s="65"/>
      <c r="AL93" s="65">
        <f t="shared" si="37"/>
        <v>0</v>
      </c>
      <c r="AM93" s="66"/>
      <c r="AN93" s="66"/>
      <c r="AO93" s="66">
        <f t="shared" si="50"/>
        <v>0</v>
      </c>
    </row>
    <row r="94" spans="1:41" s="58" customFormat="1" ht="17.25" x14ac:dyDescent="0.3">
      <c r="A94" s="68" t="s">
        <v>76</v>
      </c>
      <c r="B94" s="16"/>
      <c r="C94" s="14">
        <f>H94+K94+N94+Q94+T94+W94+Z94+AC94+AF94+AI94+AL94+AO94</f>
        <v>30863</v>
      </c>
      <c r="D94" s="24"/>
      <c r="E94" s="3"/>
      <c r="F94" s="132">
        <v>30863</v>
      </c>
      <c r="G94" s="65"/>
      <c r="H94" s="65">
        <f t="shared" si="27"/>
        <v>30863</v>
      </c>
      <c r="I94" s="132">
        <v>0</v>
      </c>
      <c r="J94" s="66"/>
      <c r="K94" s="66">
        <f t="shared" si="28"/>
        <v>0</v>
      </c>
      <c r="L94" s="65">
        <v>0</v>
      </c>
      <c r="M94" s="65"/>
      <c r="N94" s="65">
        <f t="shared" si="29"/>
        <v>0</v>
      </c>
      <c r="O94" s="132">
        <v>0</v>
      </c>
      <c r="P94" s="66"/>
      <c r="Q94" s="66">
        <f t="shared" si="30"/>
        <v>0</v>
      </c>
      <c r="R94" s="132">
        <v>0</v>
      </c>
      <c r="S94" s="65"/>
      <c r="T94" s="65">
        <f t="shared" si="31"/>
        <v>0</v>
      </c>
      <c r="U94" s="132">
        <v>0</v>
      </c>
      <c r="V94" s="66"/>
      <c r="W94" s="66">
        <f t="shared" si="32"/>
        <v>0</v>
      </c>
      <c r="X94" s="65"/>
      <c r="Y94" s="65"/>
      <c r="Z94" s="65">
        <f t="shared" si="33"/>
        <v>0</v>
      </c>
      <c r="AA94" s="66"/>
      <c r="AB94" s="66"/>
      <c r="AC94" s="66">
        <f t="shared" si="34"/>
        <v>0</v>
      </c>
      <c r="AD94" s="65"/>
      <c r="AE94" s="65"/>
      <c r="AF94" s="65">
        <f t="shared" si="35"/>
        <v>0</v>
      </c>
      <c r="AG94" s="66"/>
      <c r="AH94" s="66"/>
      <c r="AI94" s="66">
        <f t="shared" si="36"/>
        <v>0</v>
      </c>
      <c r="AJ94" s="65"/>
      <c r="AK94" s="65"/>
      <c r="AL94" s="65">
        <f t="shared" si="37"/>
        <v>0</v>
      </c>
      <c r="AM94" s="66"/>
      <c r="AN94" s="66"/>
      <c r="AO94" s="66">
        <f t="shared" si="50"/>
        <v>0</v>
      </c>
    </row>
    <row r="95" spans="1:41" s="58" customFormat="1" ht="18.95" customHeight="1" x14ac:dyDescent="0.3">
      <c r="A95" s="15" t="s">
        <v>36</v>
      </c>
      <c r="B95" s="16"/>
      <c r="C95" s="14">
        <f>H95+K95+N95+Q95+T95+W95+Z95+AC95+AF95+AI95+AL95+AO95</f>
        <v>108781</v>
      </c>
      <c r="D95" s="45"/>
      <c r="E95" s="3"/>
      <c r="F95" s="132">
        <f>200941+402776</f>
        <v>603717</v>
      </c>
      <c r="G95" s="120">
        <f>-402776-12460-81948-68335</f>
        <v>-565519</v>
      </c>
      <c r="H95" s="65">
        <f t="shared" si="27"/>
        <v>38198</v>
      </c>
      <c r="I95" s="132">
        <v>25800</v>
      </c>
      <c r="J95" s="120"/>
      <c r="K95" s="66">
        <f t="shared" si="28"/>
        <v>25800</v>
      </c>
      <c r="L95" s="65">
        <v>0</v>
      </c>
      <c r="M95" s="65"/>
      <c r="N95" s="65">
        <f t="shared" si="29"/>
        <v>0</v>
      </c>
      <c r="O95" s="132">
        <v>25000</v>
      </c>
      <c r="P95" s="120">
        <v>0</v>
      </c>
      <c r="Q95" s="66">
        <f t="shared" si="30"/>
        <v>25000</v>
      </c>
      <c r="R95" s="132">
        <v>0</v>
      </c>
      <c r="S95" s="120">
        <v>0</v>
      </c>
      <c r="T95" s="65">
        <f t="shared" si="31"/>
        <v>0</v>
      </c>
      <c r="U95" s="132">
        <v>13783</v>
      </c>
      <c r="V95" s="120">
        <v>0</v>
      </c>
      <c r="W95" s="66">
        <f t="shared" si="32"/>
        <v>13783</v>
      </c>
      <c r="X95" s="132">
        <v>0</v>
      </c>
      <c r="Y95" s="65"/>
      <c r="Z95" s="65">
        <f t="shared" si="33"/>
        <v>0</v>
      </c>
      <c r="AA95" s="66">
        <v>6000</v>
      </c>
      <c r="AB95" s="66"/>
      <c r="AC95" s="66">
        <f t="shared" si="34"/>
        <v>6000</v>
      </c>
      <c r="AD95" s="65"/>
      <c r="AE95" s="65"/>
      <c r="AF95" s="65">
        <f t="shared" si="35"/>
        <v>0</v>
      </c>
      <c r="AG95" s="66"/>
      <c r="AH95" s="66"/>
      <c r="AI95" s="66">
        <f t="shared" si="36"/>
        <v>0</v>
      </c>
      <c r="AJ95" s="65"/>
      <c r="AK95" s="97"/>
      <c r="AL95" s="65">
        <f t="shared" si="37"/>
        <v>0</v>
      </c>
      <c r="AM95" s="66"/>
      <c r="AN95" s="66"/>
      <c r="AO95" s="66">
        <f t="shared" si="50"/>
        <v>0</v>
      </c>
    </row>
    <row r="96" spans="1:41" s="58" customFormat="1" ht="18.95" customHeight="1" x14ac:dyDescent="0.3">
      <c r="A96" s="70" t="s">
        <v>80</v>
      </c>
      <c r="B96" s="16"/>
      <c r="C96" s="28">
        <f>SUM(C92:C95)</f>
        <v>220080</v>
      </c>
      <c r="D96" s="28"/>
      <c r="E96" s="3"/>
      <c r="F96" s="28">
        <f>SUM(F92:F95)</f>
        <v>660633</v>
      </c>
      <c r="G96" s="28">
        <f>SUM(G92:G95)</f>
        <v>-565519</v>
      </c>
      <c r="H96" s="28">
        <f>SUM(H92:H95)</f>
        <v>95114</v>
      </c>
      <c r="I96" s="28">
        <f t="shared" ref="I96:AO96" si="51">SUM(I92:I95)</f>
        <v>74667</v>
      </c>
      <c r="J96" s="28">
        <f t="shared" si="51"/>
        <v>0</v>
      </c>
      <c r="K96" s="28">
        <f t="shared" si="51"/>
        <v>74667</v>
      </c>
      <c r="L96" s="28">
        <f t="shared" si="51"/>
        <v>0</v>
      </c>
      <c r="M96" s="28">
        <f t="shared" si="51"/>
        <v>0</v>
      </c>
      <c r="N96" s="28">
        <f t="shared" si="51"/>
        <v>0</v>
      </c>
      <c r="O96" s="28">
        <f t="shared" si="51"/>
        <v>25000</v>
      </c>
      <c r="P96" s="28">
        <f t="shared" si="51"/>
        <v>0</v>
      </c>
      <c r="Q96" s="28">
        <f t="shared" si="51"/>
        <v>25000</v>
      </c>
      <c r="R96" s="28">
        <f t="shared" si="51"/>
        <v>0</v>
      </c>
      <c r="S96" s="28">
        <f t="shared" si="51"/>
        <v>0</v>
      </c>
      <c r="T96" s="28">
        <f t="shared" si="51"/>
        <v>0</v>
      </c>
      <c r="U96" s="28">
        <f t="shared" si="51"/>
        <v>19299</v>
      </c>
      <c r="V96" s="28">
        <f t="shared" si="51"/>
        <v>0</v>
      </c>
      <c r="W96" s="28">
        <f t="shared" si="51"/>
        <v>19299</v>
      </c>
      <c r="X96" s="28">
        <f t="shared" si="51"/>
        <v>0</v>
      </c>
      <c r="Y96" s="28">
        <f t="shared" si="51"/>
        <v>0</v>
      </c>
      <c r="Z96" s="28">
        <f t="shared" si="51"/>
        <v>0</v>
      </c>
      <c r="AA96" s="28">
        <f t="shared" si="51"/>
        <v>6000</v>
      </c>
      <c r="AB96" s="28">
        <f t="shared" si="51"/>
        <v>0</v>
      </c>
      <c r="AC96" s="28">
        <f t="shared" si="51"/>
        <v>6000</v>
      </c>
      <c r="AD96" s="28">
        <f t="shared" si="51"/>
        <v>0</v>
      </c>
      <c r="AE96" s="28">
        <f t="shared" si="51"/>
        <v>0</v>
      </c>
      <c r="AF96" s="28">
        <f t="shared" si="51"/>
        <v>0</v>
      </c>
      <c r="AG96" s="28">
        <f t="shared" si="51"/>
        <v>0</v>
      </c>
      <c r="AH96" s="28">
        <f t="shared" si="51"/>
        <v>0</v>
      </c>
      <c r="AI96" s="28">
        <f t="shared" si="51"/>
        <v>0</v>
      </c>
      <c r="AJ96" s="28">
        <f t="shared" si="51"/>
        <v>0</v>
      </c>
      <c r="AK96" s="28">
        <f t="shared" si="51"/>
        <v>0</v>
      </c>
      <c r="AL96" s="28">
        <f t="shared" si="51"/>
        <v>0</v>
      </c>
      <c r="AM96" s="28">
        <f t="shared" si="51"/>
        <v>0</v>
      </c>
      <c r="AN96" s="28">
        <f t="shared" si="51"/>
        <v>0</v>
      </c>
      <c r="AO96" s="28">
        <f t="shared" si="51"/>
        <v>0</v>
      </c>
    </row>
    <row r="97" spans="1:42" s="58" customFormat="1" ht="18.95" customHeight="1" x14ac:dyDescent="0.3">
      <c r="A97" s="70" t="s">
        <v>81</v>
      </c>
      <c r="B97" s="16"/>
      <c r="C97" s="72">
        <f>C89+C96</f>
        <v>220080</v>
      </c>
      <c r="D97" s="28"/>
      <c r="E97" s="3"/>
      <c r="F97" s="72">
        <f>F89+F96</f>
        <v>660633</v>
      </c>
      <c r="G97" s="72">
        <f t="shared" ref="G97:AO97" si="52">G89+G96</f>
        <v>-565519</v>
      </c>
      <c r="H97" s="72">
        <f t="shared" si="52"/>
        <v>95114</v>
      </c>
      <c r="I97" s="72">
        <f t="shared" si="52"/>
        <v>74667</v>
      </c>
      <c r="J97" s="72">
        <f t="shared" si="52"/>
        <v>0</v>
      </c>
      <c r="K97" s="72">
        <f t="shared" si="52"/>
        <v>74667</v>
      </c>
      <c r="L97" s="72">
        <f t="shared" si="52"/>
        <v>0</v>
      </c>
      <c r="M97" s="72">
        <f t="shared" si="52"/>
        <v>0</v>
      </c>
      <c r="N97" s="72">
        <f t="shared" si="52"/>
        <v>0</v>
      </c>
      <c r="O97" s="72">
        <f t="shared" si="52"/>
        <v>25000</v>
      </c>
      <c r="P97" s="72">
        <f t="shared" si="52"/>
        <v>0</v>
      </c>
      <c r="Q97" s="72">
        <f t="shared" si="52"/>
        <v>25000</v>
      </c>
      <c r="R97" s="72">
        <f t="shared" si="52"/>
        <v>0</v>
      </c>
      <c r="S97" s="72">
        <f t="shared" si="52"/>
        <v>0</v>
      </c>
      <c r="T97" s="72">
        <f t="shared" si="52"/>
        <v>0</v>
      </c>
      <c r="U97" s="72">
        <f t="shared" si="52"/>
        <v>19299</v>
      </c>
      <c r="V97" s="72">
        <f t="shared" si="52"/>
        <v>0</v>
      </c>
      <c r="W97" s="72">
        <f t="shared" si="52"/>
        <v>19299</v>
      </c>
      <c r="X97" s="72">
        <f t="shared" si="52"/>
        <v>0</v>
      </c>
      <c r="Y97" s="72">
        <f t="shared" si="52"/>
        <v>0</v>
      </c>
      <c r="Z97" s="72">
        <f t="shared" si="52"/>
        <v>0</v>
      </c>
      <c r="AA97" s="72">
        <f t="shared" si="52"/>
        <v>6000</v>
      </c>
      <c r="AB97" s="72">
        <f t="shared" si="52"/>
        <v>0</v>
      </c>
      <c r="AC97" s="72">
        <f t="shared" si="52"/>
        <v>6000</v>
      </c>
      <c r="AD97" s="72">
        <f t="shared" si="52"/>
        <v>0</v>
      </c>
      <c r="AE97" s="72">
        <f t="shared" si="52"/>
        <v>0</v>
      </c>
      <c r="AF97" s="72">
        <f t="shared" si="52"/>
        <v>0</v>
      </c>
      <c r="AG97" s="72">
        <f t="shared" si="52"/>
        <v>0</v>
      </c>
      <c r="AH97" s="72">
        <f t="shared" si="52"/>
        <v>0</v>
      </c>
      <c r="AI97" s="72">
        <f t="shared" si="52"/>
        <v>0</v>
      </c>
      <c r="AJ97" s="72">
        <f t="shared" si="52"/>
        <v>0</v>
      </c>
      <c r="AK97" s="72">
        <f t="shared" si="52"/>
        <v>0</v>
      </c>
      <c r="AL97" s="72">
        <f t="shared" si="52"/>
        <v>0</v>
      </c>
      <c r="AM97" s="72">
        <f t="shared" si="52"/>
        <v>0</v>
      </c>
      <c r="AN97" s="72">
        <f t="shared" si="52"/>
        <v>0</v>
      </c>
      <c r="AO97" s="72">
        <f t="shared" si="52"/>
        <v>0</v>
      </c>
      <c r="AP97" s="3"/>
    </row>
    <row r="98" spans="1:42" s="58" customFormat="1" ht="18.95" customHeight="1" x14ac:dyDescent="0.3">
      <c r="A98" s="4"/>
      <c r="B98" s="16"/>
      <c r="C98" s="28"/>
      <c r="D98" s="28"/>
      <c r="E98" s="3"/>
      <c r="F98" s="28"/>
      <c r="G98" s="65"/>
      <c r="H98" s="65"/>
      <c r="I98" s="66"/>
      <c r="J98" s="66"/>
      <c r="K98" s="66"/>
      <c r="L98" s="65"/>
      <c r="M98" s="65"/>
      <c r="N98" s="65"/>
      <c r="O98" s="66"/>
      <c r="P98" s="66"/>
      <c r="Q98" s="66"/>
      <c r="R98" s="65"/>
      <c r="S98" s="65"/>
      <c r="T98" s="65"/>
      <c r="U98" s="66"/>
      <c r="V98" s="66"/>
      <c r="W98" s="66"/>
      <c r="X98" s="65"/>
      <c r="Y98" s="65"/>
      <c r="Z98" s="65"/>
      <c r="AA98" s="66"/>
      <c r="AB98" s="66"/>
      <c r="AC98" s="66"/>
      <c r="AD98" s="65"/>
      <c r="AE98" s="65"/>
      <c r="AF98" s="65"/>
      <c r="AG98" s="66"/>
      <c r="AH98" s="66"/>
      <c r="AI98" s="66"/>
      <c r="AJ98" s="65"/>
      <c r="AK98" s="65"/>
      <c r="AL98" s="65"/>
      <c r="AM98" s="66"/>
      <c r="AN98" s="66"/>
      <c r="AO98" s="66"/>
      <c r="AP98" s="3"/>
    </row>
    <row r="99" spans="1:42" s="58" customFormat="1" ht="18.95" customHeight="1" thickBot="1" x14ac:dyDescent="0.35">
      <c r="A99" s="4" t="s">
        <v>37</v>
      </c>
      <c r="B99" s="16"/>
      <c r="C99" s="17">
        <f>C84+C97</f>
        <v>4291702</v>
      </c>
      <c r="D99" s="28"/>
      <c r="E99" s="3"/>
      <c r="F99" s="17">
        <f>F84+F97</f>
        <v>2455646</v>
      </c>
      <c r="G99" s="17">
        <f t="shared" ref="G99:AO99" si="53">G84+G97</f>
        <v>-565519</v>
      </c>
      <c r="H99" s="17">
        <f t="shared" si="53"/>
        <v>1890127</v>
      </c>
      <c r="I99" s="17">
        <f t="shared" si="53"/>
        <v>440642</v>
      </c>
      <c r="J99" s="17">
        <f t="shared" si="53"/>
        <v>0</v>
      </c>
      <c r="K99" s="17">
        <f t="shared" si="53"/>
        <v>440642</v>
      </c>
      <c r="L99" s="17">
        <f t="shared" si="53"/>
        <v>0</v>
      </c>
      <c r="M99" s="17">
        <f t="shared" si="53"/>
        <v>0</v>
      </c>
      <c r="N99" s="17">
        <f t="shared" si="53"/>
        <v>0</v>
      </c>
      <c r="O99" s="17">
        <f t="shared" si="53"/>
        <v>530225</v>
      </c>
      <c r="P99" s="17">
        <f t="shared" si="53"/>
        <v>0</v>
      </c>
      <c r="Q99" s="17">
        <f t="shared" si="53"/>
        <v>530225</v>
      </c>
      <c r="R99" s="17">
        <f t="shared" si="53"/>
        <v>1136918</v>
      </c>
      <c r="S99" s="17">
        <f t="shared" si="53"/>
        <v>0</v>
      </c>
      <c r="T99" s="17">
        <f t="shared" si="53"/>
        <v>1136918</v>
      </c>
      <c r="U99" s="17">
        <f t="shared" si="53"/>
        <v>85211</v>
      </c>
      <c r="V99" s="17">
        <f t="shared" si="53"/>
        <v>0</v>
      </c>
      <c r="W99" s="17">
        <f t="shared" si="53"/>
        <v>85211</v>
      </c>
      <c r="X99" s="17">
        <f t="shared" si="53"/>
        <v>108105</v>
      </c>
      <c r="Y99" s="17">
        <f t="shared" si="53"/>
        <v>0</v>
      </c>
      <c r="Z99" s="17">
        <f t="shared" si="53"/>
        <v>108105</v>
      </c>
      <c r="AA99" s="17">
        <f t="shared" si="53"/>
        <v>93574</v>
      </c>
      <c r="AB99" s="17">
        <f t="shared" si="53"/>
        <v>0</v>
      </c>
      <c r="AC99" s="17">
        <f t="shared" si="53"/>
        <v>93574</v>
      </c>
      <c r="AD99" s="17">
        <f t="shared" si="53"/>
        <v>6900</v>
      </c>
      <c r="AE99" s="17">
        <f t="shared" si="53"/>
        <v>0</v>
      </c>
      <c r="AF99" s="17">
        <f t="shared" si="53"/>
        <v>6900</v>
      </c>
      <c r="AG99" s="17">
        <f t="shared" si="53"/>
        <v>0</v>
      </c>
      <c r="AH99" s="17">
        <f t="shared" si="53"/>
        <v>0</v>
      </c>
      <c r="AI99" s="17">
        <f t="shared" si="53"/>
        <v>0</v>
      </c>
      <c r="AJ99" s="17">
        <f t="shared" si="53"/>
        <v>0</v>
      </c>
      <c r="AK99" s="17">
        <f t="shared" si="53"/>
        <v>0</v>
      </c>
      <c r="AL99" s="17">
        <f t="shared" si="53"/>
        <v>0</v>
      </c>
      <c r="AM99" s="17">
        <f t="shared" si="53"/>
        <v>0</v>
      </c>
      <c r="AN99" s="17">
        <f t="shared" si="53"/>
        <v>0</v>
      </c>
      <c r="AO99" s="17">
        <f t="shared" si="53"/>
        <v>0</v>
      </c>
      <c r="AP99" s="3"/>
    </row>
    <row r="100" spans="1:42" s="58" customFormat="1" ht="15.75" thickTop="1" x14ac:dyDescent="0.2">
      <c r="A100" s="3"/>
      <c r="B100" s="3"/>
      <c r="C100" s="73">
        <f>C74-C99</f>
        <v>0</v>
      </c>
      <c r="D100" s="50"/>
      <c r="E100" s="3"/>
      <c r="F100" s="73">
        <f>F74-F99</f>
        <v>0</v>
      </c>
      <c r="G100" s="73">
        <f t="shared" ref="G100:AO100" si="54">G74-G99</f>
        <v>565519</v>
      </c>
      <c r="H100" s="73">
        <f t="shared" si="54"/>
        <v>565519</v>
      </c>
      <c r="I100" s="73">
        <f t="shared" si="54"/>
        <v>0</v>
      </c>
      <c r="J100" s="73">
        <f t="shared" si="54"/>
        <v>-81948</v>
      </c>
      <c r="K100" s="73">
        <f t="shared" si="54"/>
        <v>-81948</v>
      </c>
      <c r="L100" s="73">
        <f t="shared" si="54"/>
        <v>0</v>
      </c>
      <c r="M100" s="73">
        <f t="shared" si="54"/>
        <v>0</v>
      </c>
      <c r="N100" s="73">
        <f t="shared" si="54"/>
        <v>0</v>
      </c>
      <c r="O100" s="73">
        <f t="shared" si="54"/>
        <v>0</v>
      </c>
      <c r="P100" s="73">
        <f t="shared" si="54"/>
        <v>-68335</v>
      </c>
      <c r="Q100" s="73">
        <f t="shared" si="54"/>
        <v>-68335</v>
      </c>
      <c r="R100" s="73">
        <f t="shared" si="54"/>
        <v>0</v>
      </c>
      <c r="S100" s="73">
        <f t="shared" si="54"/>
        <v>-402776</v>
      </c>
      <c r="T100" s="73">
        <f t="shared" si="54"/>
        <v>-402776</v>
      </c>
      <c r="U100" s="73">
        <f t="shared" si="54"/>
        <v>0</v>
      </c>
      <c r="V100" s="73">
        <f t="shared" si="54"/>
        <v>-12460</v>
      </c>
      <c r="W100" s="73">
        <f t="shared" si="54"/>
        <v>-12460</v>
      </c>
      <c r="X100" s="73">
        <f t="shared" si="54"/>
        <v>0</v>
      </c>
      <c r="Y100" s="73">
        <f t="shared" si="54"/>
        <v>0</v>
      </c>
      <c r="Z100" s="73">
        <f t="shared" si="54"/>
        <v>0</v>
      </c>
      <c r="AA100" s="73">
        <f t="shared" si="54"/>
        <v>0</v>
      </c>
      <c r="AB100" s="73">
        <f t="shared" si="54"/>
        <v>0</v>
      </c>
      <c r="AC100" s="73">
        <f t="shared" si="54"/>
        <v>0</v>
      </c>
      <c r="AD100" s="73">
        <f t="shared" si="54"/>
        <v>0</v>
      </c>
      <c r="AE100" s="73">
        <f t="shared" si="54"/>
        <v>0</v>
      </c>
      <c r="AF100" s="73">
        <f t="shared" si="54"/>
        <v>0</v>
      </c>
      <c r="AG100" s="73">
        <f t="shared" si="54"/>
        <v>0</v>
      </c>
      <c r="AH100" s="73">
        <f t="shared" si="54"/>
        <v>0</v>
      </c>
      <c r="AI100" s="73">
        <f t="shared" si="54"/>
        <v>0</v>
      </c>
      <c r="AJ100" s="73">
        <f t="shared" si="54"/>
        <v>0</v>
      </c>
      <c r="AK100" s="73">
        <f t="shared" si="54"/>
        <v>0</v>
      </c>
      <c r="AL100" s="73">
        <f t="shared" si="54"/>
        <v>0</v>
      </c>
      <c r="AM100" s="73">
        <f t="shared" si="54"/>
        <v>0</v>
      </c>
      <c r="AN100" s="73">
        <f t="shared" si="54"/>
        <v>0</v>
      </c>
      <c r="AO100" s="73">
        <f t="shared" si="54"/>
        <v>0</v>
      </c>
      <c r="AP100" s="51"/>
    </row>
    <row r="101" spans="1:42" s="58" customFormat="1" x14ac:dyDescent="0.2">
      <c r="A101" s="3"/>
      <c r="B101" s="3"/>
      <c r="C101" s="50"/>
      <c r="D101" s="50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 t="s">
        <v>163</v>
      </c>
      <c r="AO101" s="51">
        <f>SUM(F100:AO100)</f>
        <v>0</v>
      </c>
      <c r="AP101" s="3"/>
    </row>
    <row r="102" spans="1:42" s="58" customFormat="1" x14ac:dyDescent="0.2">
      <c r="A102" s="3"/>
      <c r="B102" s="3"/>
      <c r="C102" s="51"/>
      <c r="D102" s="52"/>
      <c r="E102" s="3"/>
      <c r="F102" s="3"/>
      <c r="G102" s="51">
        <f>SUM(G100)</f>
        <v>565519</v>
      </c>
      <c r="H102" s="51"/>
      <c r="I102" s="51"/>
      <c r="J102" s="51">
        <f t="shared" ref="J102:AB102" si="55">SUM(J100)</f>
        <v>-81948</v>
      </c>
      <c r="K102" s="51"/>
      <c r="L102" s="51"/>
      <c r="M102" s="51">
        <f t="shared" si="55"/>
        <v>0</v>
      </c>
      <c r="N102" s="51"/>
      <c r="O102" s="51"/>
      <c r="P102" s="51">
        <f t="shared" si="55"/>
        <v>-68335</v>
      </c>
      <c r="Q102" s="51"/>
      <c r="R102" s="51"/>
      <c r="S102" s="51">
        <f t="shared" si="55"/>
        <v>-402776</v>
      </c>
      <c r="T102" s="51"/>
      <c r="U102" s="51"/>
      <c r="V102" s="51">
        <f t="shared" si="55"/>
        <v>-12460</v>
      </c>
      <c r="W102" s="51"/>
      <c r="X102" s="51"/>
      <c r="Y102" s="51">
        <f t="shared" si="55"/>
        <v>0</v>
      </c>
      <c r="Z102" s="51"/>
      <c r="AA102" s="51"/>
      <c r="AB102" s="51">
        <f t="shared" si="55"/>
        <v>0</v>
      </c>
      <c r="AC102" s="51"/>
      <c r="AD102" s="3"/>
      <c r="AE102" s="51">
        <f t="shared" ref="AE102" si="56">SUM(AE100)</f>
        <v>0</v>
      </c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2" s="58" customFormat="1" x14ac:dyDescent="0.2">
      <c r="A103" s="15" t="s">
        <v>165</v>
      </c>
      <c r="B103" s="148"/>
      <c r="C103" s="148"/>
      <c r="D103" s="56"/>
      <c r="E103" s="51"/>
      <c r="F103" s="51">
        <f>SUM(G102:AE102)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 s="58" customFormat="1" x14ac:dyDescent="0.2">
      <c r="A104" s="15" t="s">
        <v>166</v>
      </c>
      <c r="B104" s="3"/>
      <c r="C104" s="15"/>
      <c r="D104" s="12"/>
      <c r="E104" s="3"/>
      <c r="F104" s="3"/>
      <c r="G104" s="3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 s="58" customFormat="1" x14ac:dyDescent="0.2">
      <c r="A105" s="15"/>
      <c r="B105" s="3"/>
      <c r="C105" s="15"/>
      <c r="D105" s="12"/>
      <c r="E105" s="3"/>
      <c r="F105" s="51"/>
      <c r="G105" s="3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1:42" s="58" customFormat="1" x14ac:dyDescent="0.2">
      <c r="A106" s="15"/>
      <c r="B106" s="3"/>
      <c r="C106" s="15"/>
      <c r="D106" s="1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2" s="58" customFormat="1" x14ac:dyDescent="0.2">
      <c r="A107" s="15"/>
      <c r="B107" s="3"/>
      <c r="C107" s="15"/>
      <c r="D107" s="1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1:42" s="58" customFormat="1" ht="15.75" x14ac:dyDescent="0.25">
      <c r="A108" s="71" t="s">
        <v>130</v>
      </c>
      <c r="B108" s="3"/>
      <c r="C108" s="15"/>
      <c r="D108" s="1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1:42" s="58" customFormat="1" x14ac:dyDescent="0.2">
      <c r="A109" s="15" t="s">
        <v>131</v>
      </c>
      <c r="B109" s="148"/>
      <c r="C109" s="102">
        <f>F109+I109+L109+O109+R109+U109+X109+AA109+AD109+AG109+AJ109+AM109</f>
        <v>303972.53000000003</v>
      </c>
      <c r="D109" s="56"/>
      <c r="E109" s="3"/>
      <c r="F109" s="3">
        <f>303972.53</f>
        <v>303972.53000000003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1:42" s="58" customFormat="1" x14ac:dyDescent="0.2">
      <c r="A110" s="15" t="s">
        <v>132</v>
      </c>
      <c r="B110" s="148"/>
      <c r="C110" s="102">
        <f>F110+I110+L110+O110+R110+U110+X110+AA110+AD110+AG110+AJ110+AM110</f>
        <v>0</v>
      </c>
      <c r="D110" s="56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1:42" s="58" customFormat="1" x14ac:dyDescent="0.2">
      <c r="A111" s="15" t="s">
        <v>133</v>
      </c>
      <c r="B111" s="148"/>
      <c r="C111" s="102">
        <f t="shared" ref="C111:C123" si="57">F111+I111+L111+O111+R111+U111+X111+AA111+AD111+AG111+AJ111+AM111</f>
        <v>12180</v>
      </c>
      <c r="D111" s="56"/>
      <c r="E111" s="3"/>
      <c r="F111" s="3">
        <v>12180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1:42" s="58" customFormat="1" x14ac:dyDescent="0.2">
      <c r="A112" s="15" t="s">
        <v>134</v>
      </c>
      <c r="B112" s="148"/>
      <c r="C112" s="102">
        <f t="shared" si="57"/>
        <v>9788</v>
      </c>
      <c r="D112" s="56"/>
      <c r="E112" s="3"/>
      <c r="F112" s="3">
        <v>9788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1:27" s="58" customFormat="1" x14ac:dyDescent="0.2">
      <c r="A113" s="15" t="s">
        <v>146</v>
      </c>
      <c r="B113" s="148"/>
      <c r="C113" s="102">
        <f t="shared" si="57"/>
        <v>0</v>
      </c>
      <c r="D113" s="56"/>
    </row>
    <row r="114" spans="1:27" s="58" customFormat="1" x14ac:dyDescent="0.2">
      <c r="A114" s="15" t="s">
        <v>180</v>
      </c>
      <c r="B114" s="148"/>
      <c r="C114" s="102">
        <f t="shared" si="57"/>
        <v>0</v>
      </c>
      <c r="D114" s="56"/>
      <c r="F114" s="58">
        <v>0</v>
      </c>
    </row>
    <row r="115" spans="1:27" s="58" customFormat="1" x14ac:dyDescent="0.2">
      <c r="A115" s="15" t="s">
        <v>135</v>
      </c>
      <c r="B115" s="148"/>
      <c r="C115" s="102">
        <f t="shared" si="57"/>
        <v>44295</v>
      </c>
      <c r="D115" s="56"/>
      <c r="I115" s="58">
        <v>12495</v>
      </c>
      <c r="O115" s="58">
        <v>31800</v>
      </c>
      <c r="R115" s="58">
        <v>0</v>
      </c>
    </row>
    <row r="116" spans="1:27" s="58" customFormat="1" x14ac:dyDescent="0.2">
      <c r="A116" s="15" t="s">
        <v>136</v>
      </c>
      <c r="B116" s="148"/>
      <c r="C116" s="102">
        <f t="shared" si="57"/>
        <v>44070</v>
      </c>
      <c r="D116" s="56"/>
      <c r="F116" s="58">
        <v>21070</v>
      </c>
      <c r="I116" s="58">
        <v>20000</v>
      </c>
      <c r="O116" s="58">
        <v>0</v>
      </c>
      <c r="U116" s="58">
        <v>0</v>
      </c>
      <c r="X116" s="58">
        <v>0</v>
      </c>
      <c r="AA116" s="58">
        <v>3000</v>
      </c>
    </row>
    <row r="117" spans="1:27" s="58" customFormat="1" x14ac:dyDescent="0.2">
      <c r="A117" s="15" t="s">
        <v>143</v>
      </c>
      <c r="B117" s="148"/>
      <c r="C117" s="102">
        <f t="shared" si="57"/>
        <v>35900</v>
      </c>
      <c r="D117" s="56"/>
      <c r="F117" s="155">
        <v>35900</v>
      </c>
    </row>
    <row r="118" spans="1:27" s="58" customFormat="1" x14ac:dyDescent="0.2">
      <c r="A118" s="15" t="s">
        <v>140</v>
      </c>
      <c r="B118" s="148"/>
      <c r="C118" s="102">
        <f t="shared" si="57"/>
        <v>26004.04</v>
      </c>
      <c r="D118" s="56"/>
      <c r="F118" s="155">
        <f>23707.04+2297</f>
        <v>26004.04</v>
      </c>
    </row>
    <row r="119" spans="1:27" s="58" customFormat="1" x14ac:dyDescent="0.2">
      <c r="A119" s="15" t="s">
        <v>137</v>
      </c>
      <c r="B119" s="148"/>
      <c r="C119" s="102">
        <f t="shared" si="57"/>
        <v>12441</v>
      </c>
      <c r="D119" s="56"/>
      <c r="O119" s="58">
        <v>12441</v>
      </c>
    </row>
    <row r="120" spans="1:27" s="58" customFormat="1" x14ac:dyDescent="0.2">
      <c r="A120" s="15" t="s">
        <v>138</v>
      </c>
      <c r="B120" s="148"/>
      <c r="C120" s="102">
        <f t="shared" si="57"/>
        <v>136630</v>
      </c>
      <c r="D120" s="56"/>
      <c r="O120" s="58">
        <v>136630</v>
      </c>
    </row>
    <row r="121" spans="1:27" s="58" customFormat="1" x14ac:dyDescent="0.2">
      <c r="A121" s="15" t="s">
        <v>144</v>
      </c>
      <c r="B121" s="148"/>
      <c r="C121" s="102">
        <f t="shared" si="57"/>
        <v>0</v>
      </c>
      <c r="D121" s="56"/>
    </row>
    <row r="122" spans="1:27" s="58" customFormat="1" x14ac:dyDescent="0.2">
      <c r="A122" s="15" t="s">
        <v>139</v>
      </c>
      <c r="B122" s="2"/>
      <c r="C122" s="102">
        <f t="shared" si="57"/>
        <v>11700</v>
      </c>
      <c r="D122" s="57"/>
      <c r="R122" s="58">
        <v>11700</v>
      </c>
    </row>
    <row r="123" spans="1:27" s="58" customFormat="1" x14ac:dyDescent="0.2">
      <c r="A123" s="15" t="s">
        <v>141</v>
      </c>
      <c r="B123" s="2"/>
      <c r="C123" s="102">
        <f t="shared" si="57"/>
        <v>27598.43</v>
      </c>
      <c r="D123" s="57"/>
      <c r="F123" s="155">
        <f>2438.5+23412+1747.93</f>
        <v>27598.43</v>
      </c>
      <c r="I123" s="58">
        <v>0</v>
      </c>
      <c r="O123" s="58">
        <v>0</v>
      </c>
    </row>
    <row r="124" spans="1:27" s="58" customFormat="1" x14ac:dyDescent="0.2">
      <c r="A124" s="3"/>
      <c r="B124" s="2"/>
      <c r="C124" s="103"/>
      <c r="D124" s="57"/>
    </row>
    <row r="125" spans="1:27" s="58" customFormat="1" x14ac:dyDescent="0.2">
      <c r="A125" s="3" t="s">
        <v>142</v>
      </c>
      <c r="B125" s="2"/>
      <c r="C125" s="103">
        <f>SUM(C109:C124)</f>
        <v>664579.00000000012</v>
      </c>
      <c r="D125" s="57"/>
      <c r="F125" s="103">
        <f>SUM(F109:F124)</f>
        <v>436513</v>
      </c>
      <c r="I125" s="103"/>
      <c r="O125" s="103"/>
      <c r="R125" s="103"/>
    </row>
    <row r="126" spans="1:27" s="58" customFormat="1" x14ac:dyDescent="0.2">
      <c r="A126" s="3"/>
      <c r="B126" s="2"/>
      <c r="C126" s="2"/>
      <c r="D126" s="57"/>
    </row>
    <row r="127" spans="1:27" s="58" customFormat="1" x14ac:dyDescent="0.2">
      <c r="A127" s="3"/>
      <c r="B127" s="2"/>
      <c r="C127" s="2"/>
      <c r="D127" s="57"/>
    </row>
    <row r="128" spans="1:27" s="58" customFormat="1" x14ac:dyDescent="0.2">
      <c r="A128" s="3"/>
      <c r="B128" s="2"/>
      <c r="C128" s="2"/>
      <c r="D128" s="57"/>
    </row>
    <row r="129" spans="1:27" s="58" customFormat="1" x14ac:dyDescent="0.2">
      <c r="A129" s="3" t="s">
        <v>155</v>
      </c>
      <c r="B129" s="2"/>
      <c r="C129" s="102">
        <f>F129+I129+L129+O129+R129+U129+X129+AA129+AD129+AG129+AJ129+AM129</f>
        <v>0</v>
      </c>
      <c r="D129" s="57"/>
    </row>
    <row r="130" spans="1:27" s="58" customFormat="1" x14ac:dyDescent="0.2">
      <c r="A130" s="3"/>
      <c r="B130" s="2"/>
      <c r="C130" s="2"/>
      <c r="D130" s="57"/>
      <c r="F130" s="127">
        <f>F125-F27</f>
        <v>0</v>
      </c>
      <c r="I130" s="127">
        <f>I27-I109-I110-I111-I112-I113-I114-I115-I116-I117-I118-I119-I120-I121-I122-I123-I124-I125-I126-I127</f>
        <v>0</v>
      </c>
      <c r="L130" s="127">
        <f>L27-L109-L110-L111-L112-L113-L114-L115-L116-L117-L118-L119-L120-L121-L122-L123-L124-L125-L126-L127</f>
        <v>0</v>
      </c>
      <c r="O130" s="127">
        <f>O27-O109-O110-O111-O112-O113-O114-O115-O116-O117-O118-O119-O120-O121-O122-O123-O124-O125-O126-O127</f>
        <v>0</v>
      </c>
      <c r="R130" s="127">
        <f>R27-R109-R110-R111-R112-R113-R114-R115-R116-R117-R118-R119-R120-R121-R122-R123-R124-R125-R126-R127</f>
        <v>0</v>
      </c>
      <c r="U130" s="127">
        <f>U27-U109-U110-U111-U112-U113-U114-U115-U116-U117-U118-U119-U120-U121-U122-U123-U124-U125-U126-U127</f>
        <v>0</v>
      </c>
      <c r="X130" s="127">
        <f>X27-X109-X110-X111-X112-X113-X114-X115-X116-X117-X118-X119-X120-X121-X122-X123-X124-X125-X126-X127</f>
        <v>0</v>
      </c>
      <c r="AA130" s="127">
        <f>AA27-AA109-AA110-AA111-AA112-AA113-AA114-AA115-AA116-AA117-AA118-AA119-AA120-AA121-AA122-AA123-AA124-AA125-AA126-AA127</f>
        <v>0</v>
      </c>
    </row>
    <row r="131" spans="1:27" s="58" customFormat="1" x14ac:dyDescent="0.2">
      <c r="A131" s="3"/>
      <c r="B131" s="2"/>
      <c r="C131" s="2"/>
      <c r="D131" s="57"/>
      <c r="F131" s="149"/>
    </row>
    <row r="132" spans="1:27" s="58" customFormat="1" x14ac:dyDescent="0.2">
      <c r="A132" s="3"/>
      <c r="B132" s="2"/>
      <c r="C132" s="2"/>
      <c r="D132" s="57"/>
    </row>
    <row r="133" spans="1:27" s="58" customFormat="1" x14ac:dyDescent="0.2">
      <c r="A133" s="3"/>
      <c r="B133" s="2"/>
      <c r="C133" s="2"/>
      <c r="D133" s="57"/>
    </row>
    <row r="134" spans="1:27" s="58" customFormat="1" x14ac:dyDescent="0.2">
      <c r="A134" s="3"/>
      <c r="B134" s="2"/>
      <c r="C134" s="2"/>
      <c r="D134" s="57"/>
    </row>
    <row r="135" spans="1:27" s="58" customFormat="1" x14ac:dyDescent="0.2">
      <c r="A135" s="3"/>
      <c r="B135" s="2"/>
      <c r="C135" s="2"/>
      <c r="D135" s="57"/>
    </row>
    <row r="136" spans="1:27" s="58" customFormat="1" x14ac:dyDescent="0.2">
      <c r="A136" s="3"/>
      <c r="B136" s="2"/>
      <c r="C136" s="2"/>
      <c r="D136" s="57"/>
    </row>
    <row r="137" spans="1:27" s="58" customFormat="1" x14ac:dyDescent="0.2">
      <c r="A137" s="3"/>
      <c r="B137" s="2"/>
      <c r="C137" s="2"/>
      <c r="D137" s="2"/>
    </row>
    <row r="138" spans="1:27" s="58" customFormat="1" x14ac:dyDescent="0.2">
      <c r="A138" s="3"/>
      <c r="B138" s="2"/>
      <c r="C138" s="2"/>
      <c r="D138" s="2"/>
    </row>
    <row r="139" spans="1:27" s="58" customFormat="1" x14ac:dyDescent="0.2">
      <c r="A139" s="3"/>
      <c r="B139" s="2"/>
      <c r="C139" s="2"/>
      <c r="D139" s="2"/>
    </row>
    <row r="140" spans="1:27" s="58" customFormat="1" x14ac:dyDescent="0.2">
      <c r="A140" s="3"/>
      <c r="B140" s="2"/>
      <c r="C140" s="2"/>
      <c r="D140" s="2"/>
    </row>
    <row r="141" spans="1:27" s="58" customFormat="1" x14ac:dyDescent="0.2">
      <c r="A141" s="3"/>
      <c r="B141" s="2"/>
      <c r="C141" s="2"/>
      <c r="D141" s="2"/>
    </row>
    <row r="142" spans="1:27" s="58" customFormat="1" x14ac:dyDescent="0.2">
      <c r="A142" s="3"/>
      <c r="B142" s="2"/>
      <c r="C142" s="2"/>
      <c r="D142" s="2"/>
    </row>
    <row r="143" spans="1:27" s="58" customFormat="1" x14ac:dyDescent="0.2">
      <c r="A143" s="3"/>
      <c r="B143" s="2"/>
      <c r="C143" s="2"/>
      <c r="D143" s="2"/>
    </row>
    <row r="144" spans="1:27" s="58" customFormat="1" x14ac:dyDescent="0.2">
      <c r="A144" s="3"/>
      <c r="B144" s="2"/>
      <c r="C144" s="2"/>
      <c r="D144" s="2"/>
    </row>
    <row r="145" spans="2:4" s="58" customFormat="1" x14ac:dyDescent="0.2">
      <c r="B145" s="2"/>
      <c r="C145" s="2"/>
      <c r="D145" s="2"/>
    </row>
    <row r="146" spans="2:4" s="58" customFormat="1" x14ac:dyDescent="0.2">
      <c r="B146" s="2"/>
      <c r="C146" s="2"/>
      <c r="D146" s="2"/>
    </row>
    <row r="147" spans="2:4" s="58" customFormat="1" x14ac:dyDescent="0.2">
      <c r="B147" s="2"/>
      <c r="C147" s="2"/>
      <c r="D147" s="2"/>
    </row>
    <row r="148" spans="2:4" s="58" customFormat="1" x14ac:dyDescent="0.2">
      <c r="B148" s="2"/>
      <c r="C148" s="2"/>
      <c r="D148" s="2"/>
    </row>
    <row r="149" spans="2:4" s="58" customFormat="1" x14ac:dyDescent="0.2">
      <c r="B149" s="2"/>
      <c r="C149" s="2"/>
      <c r="D149" s="2"/>
    </row>
    <row r="150" spans="2:4" s="58" customFormat="1" x14ac:dyDescent="0.2">
      <c r="B150" s="2"/>
      <c r="C150" s="2"/>
      <c r="D150" s="2"/>
    </row>
    <row r="151" spans="2:4" s="58" customFormat="1" x14ac:dyDescent="0.2">
      <c r="B151" s="2"/>
      <c r="C151" s="2"/>
      <c r="D151" s="2"/>
    </row>
    <row r="152" spans="2:4" s="58" customFormat="1" x14ac:dyDescent="0.2">
      <c r="B152" s="2"/>
      <c r="C152" s="2"/>
      <c r="D152" s="2"/>
    </row>
    <row r="153" spans="2:4" s="58" customFormat="1" x14ac:dyDescent="0.2">
      <c r="B153" s="2"/>
      <c r="C153" s="2"/>
      <c r="D153" s="2"/>
    </row>
    <row r="154" spans="2:4" s="58" customFormat="1" x14ac:dyDescent="0.2">
      <c r="B154" s="2"/>
      <c r="C154" s="2"/>
      <c r="D154" s="2"/>
    </row>
    <row r="155" spans="2:4" s="58" customFormat="1" x14ac:dyDescent="0.2">
      <c r="B155" s="2"/>
      <c r="C155" s="2"/>
      <c r="D155" s="2"/>
    </row>
    <row r="156" spans="2:4" s="58" customFormat="1" x14ac:dyDescent="0.2">
      <c r="B156" s="2"/>
      <c r="C156" s="2"/>
      <c r="D156" s="2"/>
    </row>
    <row r="157" spans="2:4" s="58" customFormat="1" x14ac:dyDescent="0.2">
      <c r="B157" s="2"/>
      <c r="C157" s="2"/>
      <c r="D157" s="2"/>
    </row>
    <row r="158" spans="2:4" s="58" customFormat="1" x14ac:dyDescent="0.2">
      <c r="B158" s="2"/>
      <c r="C158" s="2"/>
      <c r="D158" s="2"/>
    </row>
    <row r="159" spans="2:4" s="58" customFormat="1" x14ac:dyDescent="0.2">
      <c r="B159" s="2"/>
      <c r="C159" s="2"/>
      <c r="D159" s="2"/>
    </row>
    <row r="160" spans="2:4" s="58" customFormat="1" x14ac:dyDescent="0.2">
      <c r="B160" s="2"/>
      <c r="C160" s="2"/>
      <c r="D160" s="2"/>
    </row>
    <row r="161" spans="2:4" s="58" customFormat="1" x14ac:dyDescent="0.2">
      <c r="B161" s="2"/>
      <c r="C161" s="2"/>
      <c r="D161" s="2"/>
    </row>
    <row r="162" spans="2:4" s="58" customFormat="1" x14ac:dyDescent="0.2">
      <c r="B162" s="2"/>
      <c r="C162" s="2"/>
      <c r="D162" s="2"/>
    </row>
    <row r="163" spans="2:4" s="58" customFormat="1" x14ac:dyDescent="0.2">
      <c r="B163" s="2"/>
      <c r="C163" s="2"/>
      <c r="D163" s="2"/>
    </row>
    <row r="164" spans="2:4" s="58" customFormat="1" x14ac:dyDescent="0.2">
      <c r="B164" s="2"/>
      <c r="C164" s="2"/>
      <c r="D164" s="2"/>
    </row>
  </sheetData>
  <mergeCells count="12">
    <mergeCell ref="AM3:AO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</mergeCells>
  <printOptions horizontalCentered="1"/>
  <pageMargins left="0.19685039370078741" right="3.937007874015748E-2" top="0.19685039370078741" bottom="0.19685039370078741" header="0" footer="0"/>
  <pageSetup paperSize="9" scale="35" firstPageNumber="2" orientation="landscape" cellComments="asDisplayed" r:id="rId1"/>
  <headerFooter alignWithMargins="0"/>
  <colBreaks count="2" manualBreakCount="2">
    <brk id="14" max="100" man="1"/>
    <brk id="29" max="100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65608-B302-4382-B3D0-74D14385CADA}">
  <sheetPr>
    <pageSetUpPr fitToPage="1"/>
  </sheetPr>
  <dimension ref="A1:IA164"/>
  <sheetViews>
    <sheetView zoomScaleNormal="100" workbookViewId="0">
      <pane xSplit="2" ySplit="4" topLeftCell="T85" activePane="bottomRight" state="frozen"/>
      <selection pane="topRight" activeCell="C1" sqref="C1"/>
      <selection pane="bottomLeft" activeCell="A5" sqref="A5"/>
      <selection pane="bottomRight" activeCell="X113" sqref="X113"/>
    </sheetView>
  </sheetViews>
  <sheetFormatPr baseColWidth="10" defaultColWidth="12.42578125" defaultRowHeight="15" x14ac:dyDescent="0.2"/>
  <cols>
    <col min="1" max="1" width="44.7109375" style="3" customWidth="1"/>
    <col min="2" max="2" width="9" style="3" hidden="1" customWidth="1"/>
    <col min="3" max="3" width="16.28515625" style="3" customWidth="1"/>
    <col min="4" max="4" width="16.28515625" style="3" hidden="1" customWidth="1"/>
    <col min="5" max="5" width="12.42578125" style="3" customWidth="1"/>
    <col min="6" max="6" width="14.85546875" style="3" customWidth="1"/>
    <col min="7" max="7" width="15.85546875" style="3" customWidth="1"/>
    <col min="8" max="8" width="14.85546875" style="3" customWidth="1"/>
    <col min="9" max="9" width="15.5703125" style="3" bestFit="1" customWidth="1"/>
    <col min="10" max="10" width="15.85546875" style="3" customWidth="1"/>
    <col min="11" max="11" width="14" style="3" bestFit="1" customWidth="1"/>
    <col min="12" max="12" width="14.85546875" style="3" hidden="1" customWidth="1"/>
    <col min="13" max="13" width="10.85546875" style="3" hidden="1" customWidth="1"/>
    <col min="14" max="14" width="14.85546875" style="3" hidden="1" customWidth="1"/>
    <col min="15" max="15" width="14.85546875" style="3" customWidth="1"/>
    <col min="16" max="16" width="13" style="3" customWidth="1"/>
    <col min="17" max="17" width="14.85546875" style="3" customWidth="1"/>
    <col min="18" max="20" width="13.42578125" style="3" customWidth="1"/>
    <col min="21" max="21" width="13.42578125" style="3" bestFit="1" customWidth="1"/>
    <col min="22" max="22" width="10.85546875" style="3" bestFit="1" customWidth="1"/>
    <col min="23" max="23" width="13.42578125" style="3" bestFit="1" customWidth="1"/>
    <col min="24" max="24" width="12.5703125" style="3" bestFit="1" customWidth="1"/>
    <col min="25" max="25" width="10.85546875" style="3" bestFit="1" customWidth="1"/>
    <col min="26" max="26" width="12.5703125" style="3" bestFit="1" customWidth="1"/>
    <col min="27" max="27" width="11.5703125" style="3" bestFit="1" customWidth="1"/>
    <col min="28" max="28" width="10.85546875" style="3" bestFit="1" customWidth="1"/>
    <col min="29" max="29" width="16" style="3" customWidth="1"/>
    <col min="30" max="32" width="9" style="3" customWidth="1"/>
    <col min="33" max="41" width="9" style="3" hidden="1" customWidth="1"/>
    <col min="42" max="43" width="33" style="3" customWidth="1"/>
    <col min="44" max="235" width="12.42578125" style="3" customWidth="1"/>
    <col min="236" max="16384" width="12.42578125" style="58"/>
  </cols>
  <sheetData>
    <row r="1" spans="1:41" s="58" customFormat="1" ht="30" x14ac:dyDescent="0.4">
      <c r="A1" s="1" t="s">
        <v>39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 t="s">
        <v>176</v>
      </c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s="58" customFormat="1" ht="6.95" customHeight="1" x14ac:dyDescent="0.2">
      <c r="A2" s="3"/>
      <c r="B2" s="2"/>
      <c r="C2" s="2"/>
      <c r="D2" s="2"/>
      <c r="E2" s="3"/>
      <c r="F2" s="3"/>
      <c r="G2" s="3"/>
      <c r="H2" s="3"/>
      <c r="I2" s="3"/>
      <c r="J2" s="123"/>
      <c r="K2" s="3"/>
      <c r="L2" s="3"/>
      <c r="M2" s="3"/>
      <c r="N2" s="3"/>
      <c r="O2" s="3"/>
      <c r="P2" s="123"/>
      <c r="Q2" s="3"/>
      <c r="R2" s="3"/>
      <c r="S2" s="12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s="58" customFormat="1" x14ac:dyDescent="0.2">
      <c r="A3" s="4" t="s">
        <v>0</v>
      </c>
      <c r="B3" s="153"/>
      <c r="C3" s="153"/>
      <c r="D3" s="153"/>
      <c r="E3" s="3"/>
      <c r="F3" s="162" t="s">
        <v>41</v>
      </c>
      <c r="G3" s="162"/>
      <c r="H3" s="162"/>
      <c r="I3" s="163" t="s">
        <v>45</v>
      </c>
      <c r="J3" s="163"/>
      <c r="K3" s="163"/>
      <c r="L3" s="162" t="s">
        <v>172</v>
      </c>
      <c r="M3" s="162"/>
      <c r="N3" s="162"/>
      <c r="O3" s="163" t="s">
        <v>43</v>
      </c>
      <c r="P3" s="163"/>
      <c r="Q3" s="163"/>
      <c r="R3" s="162" t="s">
        <v>44</v>
      </c>
      <c r="S3" s="162"/>
      <c r="T3" s="162"/>
      <c r="U3" s="163" t="s">
        <v>51</v>
      </c>
      <c r="V3" s="163"/>
      <c r="W3" s="163"/>
      <c r="X3" s="162" t="s">
        <v>161</v>
      </c>
      <c r="Y3" s="162"/>
      <c r="Z3" s="162"/>
      <c r="AA3" s="163" t="s">
        <v>48</v>
      </c>
      <c r="AB3" s="163"/>
      <c r="AC3" s="163"/>
      <c r="AD3" s="162" t="s">
        <v>49</v>
      </c>
      <c r="AE3" s="162"/>
      <c r="AF3" s="162"/>
      <c r="AG3" s="163"/>
      <c r="AH3" s="163"/>
      <c r="AI3" s="163"/>
      <c r="AJ3" s="162"/>
      <c r="AK3" s="162"/>
      <c r="AL3" s="162"/>
      <c r="AM3" s="163"/>
      <c r="AN3" s="163"/>
      <c r="AO3" s="163"/>
    </row>
    <row r="4" spans="1:41" s="58" customFormat="1" x14ac:dyDescent="0.2">
      <c r="A4" s="6" t="s">
        <v>1</v>
      </c>
      <c r="B4" s="153"/>
      <c r="C4" s="7">
        <v>2020</v>
      </c>
      <c r="D4" s="8" t="s">
        <v>2</v>
      </c>
      <c r="E4" s="3"/>
      <c r="F4" s="62">
        <f>$C$4</f>
        <v>2020</v>
      </c>
      <c r="G4" s="63" t="s">
        <v>38</v>
      </c>
      <c r="H4" s="63" t="s">
        <v>40</v>
      </c>
      <c r="I4" s="61">
        <f>F4</f>
        <v>2020</v>
      </c>
      <c r="J4" s="60" t="s">
        <v>38</v>
      </c>
      <c r="K4" s="60" t="s">
        <v>40</v>
      </c>
      <c r="L4" s="62">
        <f>F4</f>
        <v>2020</v>
      </c>
      <c r="M4" s="63" t="s">
        <v>38</v>
      </c>
      <c r="N4" s="63" t="s">
        <v>40</v>
      </c>
      <c r="O4" s="61">
        <f>F4</f>
        <v>2020</v>
      </c>
      <c r="P4" s="60" t="s">
        <v>38</v>
      </c>
      <c r="Q4" s="60" t="s">
        <v>40</v>
      </c>
      <c r="R4" s="62">
        <f>F4</f>
        <v>2020</v>
      </c>
      <c r="S4" s="63" t="s">
        <v>38</v>
      </c>
      <c r="T4" s="63" t="s">
        <v>40</v>
      </c>
      <c r="U4" s="61">
        <f>F4</f>
        <v>2020</v>
      </c>
      <c r="V4" s="60" t="s">
        <v>38</v>
      </c>
      <c r="W4" s="60" t="s">
        <v>40</v>
      </c>
      <c r="X4" s="62">
        <f>F4</f>
        <v>2020</v>
      </c>
      <c r="Y4" s="63" t="s">
        <v>38</v>
      </c>
      <c r="Z4" s="63" t="s">
        <v>40</v>
      </c>
      <c r="AA4" s="61">
        <f>F4</f>
        <v>2020</v>
      </c>
      <c r="AB4" s="60" t="s">
        <v>38</v>
      </c>
      <c r="AC4" s="60" t="s">
        <v>40</v>
      </c>
      <c r="AD4" s="62">
        <f>F4</f>
        <v>2020</v>
      </c>
      <c r="AE4" s="63" t="s">
        <v>38</v>
      </c>
      <c r="AF4" s="63" t="s">
        <v>40</v>
      </c>
      <c r="AG4" s="61"/>
      <c r="AH4" s="60" t="s">
        <v>38</v>
      </c>
      <c r="AI4" s="60" t="s">
        <v>40</v>
      </c>
      <c r="AJ4" s="62"/>
      <c r="AK4" s="63" t="s">
        <v>38</v>
      </c>
      <c r="AL4" s="63" t="s">
        <v>40</v>
      </c>
      <c r="AM4" s="61"/>
      <c r="AN4" s="60" t="s">
        <v>38</v>
      </c>
      <c r="AO4" s="60" t="s">
        <v>40</v>
      </c>
    </row>
    <row r="5" spans="1:41" s="58" customFormat="1" ht="17.100000000000001" customHeight="1" x14ac:dyDescent="0.25">
      <c r="A5" s="9" t="s">
        <v>3</v>
      </c>
      <c r="B5" s="10" t="s">
        <v>4</v>
      </c>
      <c r="C5" s="11"/>
      <c r="D5" s="11" t="s">
        <v>2</v>
      </c>
      <c r="E5" s="3"/>
      <c r="F5" s="65"/>
      <c r="G5" s="65"/>
      <c r="H5" s="65"/>
      <c r="I5" s="66"/>
      <c r="J5" s="66"/>
      <c r="K5" s="66"/>
      <c r="L5" s="65"/>
      <c r="M5" s="65"/>
      <c r="N5" s="65"/>
      <c r="O5" s="66"/>
      <c r="P5" s="66"/>
      <c r="Q5" s="66"/>
      <c r="R5" s="65"/>
      <c r="S5" s="65"/>
      <c r="T5" s="65"/>
      <c r="U5" s="66"/>
      <c r="V5" s="66"/>
      <c r="W5" s="66"/>
      <c r="X5" s="65"/>
      <c r="Y5" s="65"/>
      <c r="Z5" s="65"/>
      <c r="AA5" s="66"/>
      <c r="AB5" s="66"/>
      <c r="AC5" s="66"/>
      <c r="AD5" s="65"/>
      <c r="AE5" s="65"/>
      <c r="AF5" s="65"/>
      <c r="AG5" s="66"/>
      <c r="AH5" s="66"/>
      <c r="AI5" s="66"/>
      <c r="AJ5" s="65"/>
      <c r="AK5" s="65"/>
      <c r="AL5" s="65"/>
      <c r="AM5" s="66"/>
      <c r="AN5" s="66"/>
      <c r="AO5" s="66"/>
    </row>
    <row r="6" spans="1:41" s="58" customFormat="1" ht="9" customHeight="1" x14ac:dyDescent="0.2">
      <c r="A6" s="12"/>
      <c r="B6" s="13"/>
      <c r="C6" s="12"/>
      <c r="D6" s="12"/>
      <c r="E6" s="3"/>
      <c r="F6" s="65"/>
      <c r="G6" s="65"/>
      <c r="H6" s="65"/>
      <c r="I6" s="66"/>
      <c r="J6" s="66"/>
      <c r="K6" s="66"/>
      <c r="L6" s="65"/>
      <c r="M6" s="65"/>
      <c r="N6" s="65"/>
      <c r="O6" s="66"/>
      <c r="P6" s="66"/>
      <c r="Q6" s="66"/>
      <c r="R6" s="65"/>
      <c r="S6" s="65"/>
      <c r="T6" s="65"/>
      <c r="U6" s="66"/>
      <c r="V6" s="66"/>
      <c r="W6" s="66"/>
      <c r="X6" s="65"/>
      <c r="Y6" s="65"/>
      <c r="Z6" s="65"/>
      <c r="AA6" s="66"/>
      <c r="AB6" s="66"/>
      <c r="AC6" s="66"/>
      <c r="AD6" s="65"/>
      <c r="AE6" s="65"/>
      <c r="AF6" s="65"/>
      <c r="AG6" s="66"/>
      <c r="AH6" s="66"/>
      <c r="AI6" s="66"/>
      <c r="AJ6" s="65"/>
      <c r="AK6" s="65"/>
      <c r="AL6" s="65"/>
      <c r="AM6" s="66"/>
      <c r="AN6" s="66"/>
      <c r="AO6" s="66"/>
    </row>
    <row r="7" spans="1:41" s="58" customFormat="1" ht="17.25" customHeight="1" x14ac:dyDescent="0.2">
      <c r="A7" s="64" t="s">
        <v>82</v>
      </c>
      <c r="B7" s="13"/>
      <c r="C7" s="14">
        <f>H7+K7+N7+Q7+T7+W7+Z7+AC7+AF7+AI7+AL7</f>
        <v>67433</v>
      </c>
      <c r="D7" s="14">
        <v>60000</v>
      </c>
      <c r="E7" s="3"/>
      <c r="F7" s="132">
        <v>0</v>
      </c>
      <c r="G7" s="65"/>
      <c r="H7" s="65">
        <f t="shared" ref="H7:H41" si="0">F7+G7</f>
        <v>0</v>
      </c>
      <c r="I7" s="132">
        <v>55838</v>
      </c>
      <c r="J7" s="66"/>
      <c r="K7" s="66">
        <f t="shared" ref="K7:K41" si="1">I7+J7</f>
        <v>55838</v>
      </c>
      <c r="L7" s="132"/>
      <c r="M7" s="65"/>
      <c r="N7" s="65">
        <f t="shared" ref="N7:N41" si="2">L7+M7</f>
        <v>0</v>
      </c>
      <c r="O7" s="132">
        <v>11595</v>
      </c>
      <c r="P7" s="66"/>
      <c r="Q7" s="66">
        <f t="shared" ref="Q7:Q41" si="3">O7+P7</f>
        <v>11595</v>
      </c>
      <c r="R7" s="132">
        <v>0</v>
      </c>
      <c r="S7" s="65"/>
      <c r="T7" s="65">
        <f t="shared" ref="T7:T41" si="4">R7+S7</f>
        <v>0</v>
      </c>
      <c r="U7" s="66"/>
      <c r="V7" s="66"/>
      <c r="W7" s="66">
        <f t="shared" ref="W7:W41" si="5">U7+V7</f>
        <v>0</v>
      </c>
      <c r="X7" s="65"/>
      <c r="Y7" s="65"/>
      <c r="Z7" s="65">
        <f t="shared" ref="Z7:Z41" si="6">X7+Y7</f>
        <v>0</v>
      </c>
      <c r="AA7" s="66"/>
      <c r="AB7" s="66"/>
      <c r="AC7" s="66">
        <f t="shared" ref="AC7:AC41" si="7">AA7+AB7</f>
        <v>0</v>
      </c>
      <c r="AD7" s="65"/>
      <c r="AE7" s="65"/>
      <c r="AF7" s="65">
        <f t="shared" ref="AF7:AF41" si="8">AD7+AE7</f>
        <v>0</v>
      </c>
      <c r="AG7" s="66"/>
      <c r="AH7" s="66"/>
      <c r="AI7" s="66">
        <f t="shared" ref="AI7:AI41" si="9">AG7+AH7</f>
        <v>0</v>
      </c>
      <c r="AJ7" s="65"/>
      <c r="AK7" s="65"/>
      <c r="AL7" s="65">
        <f t="shared" ref="AL7:AL41" si="10">AJ7+AK7</f>
        <v>0</v>
      </c>
      <c r="AM7" s="66"/>
      <c r="AN7" s="66"/>
      <c r="AO7" s="66">
        <f t="shared" ref="AO7" si="11">AM7+AN7</f>
        <v>0</v>
      </c>
    </row>
    <row r="8" spans="1:41" s="58" customFormat="1" ht="17.25" customHeight="1" x14ac:dyDescent="0.2">
      <c r="A8" s="64" t="s">
        <v>96</v>
      </c>
      <c r="B8" s="13"/>
      <c r="C8" s="14">
        <f t="shared" ref="C8:C10" si="12">H8+K8+N8+Q8+T8+W8+Z8+AC8+AF8+AI8+AL8</f>
        <v>44070</v>
      </c>
      <c r="D8" s="14"/>
      <c r="E8" s="3"/>
      <c r="F8" s="132"/>
      <c r="G8" s="65"/>
      <c r="H8" s="65">
        <f t="shared" si="0"/>
        <v>0</v>
      </c>
      <c r="I8" s="132">
        <v>44070</v>
      </c>
      <c r="J8" s="66"/>
      <c r="K8" s="66">
        <f t="shared" si="1"/>
        <v>44070</v>
      </c>
      <c r="L8" s="132"/>
      <c r="M8" s="65"/>
      <c r="N8" s="65">
        <f>L8+M8</f>
        <v>0</v>
      </c>
      <c r="O8" s="132">
        <v>0</v>
      </c>
      <c r="P8" s="66"/>
      <c r="Q8" s="66">
        <f t="shared" si="3"/>
        <v>0</v>
      </c>
      <c r="R8" s="132">
        <v>0</v>
      </c>
      <c r="S8" s="65"/>
      <c r="T8" s="65">
        <f t="shared" si="4"/>
        <v>0</v>
      </c>
      <c r="U8" s="132"/>
      <c r="V8" s="66"/>
      <c r="W8" s="66">
        <f t="shared" si="5"/>
        <v>0</v>
      </c>
      <c r="X8" s="132"/>
      <c r="Y8" s="65"/>
      <c r="Z8" s="65">
        <f t="shared" si="6"/>
        <v>0</v>
      </c>
      <c r="AA8" s="132"/>
      <c r="AB8" s="66"/>
      <c r="AC8" s="66">
        <f t="shared" si="7"/>
        <v>0</v>
      </c>
      <c r="AD8" s="65"/>
      <c r="AE8" s="65"/>
      <c r="AF8" s="65"/>
      <c r="AG8" s="66"/>
      <c r="AH8" s="66"/>
      <c r="AI8" s="66"/>
      <c r="AJ8" s="65"/>
      <c r="AK8" s="65"/>
      <c r="AL8" s="65"/>
      <c r="AM8" s="66"/>
      <c r="AN8" s="66"/>
      <c r="AO8" s="66"/>
    </row>
    <row r="9" spans="1:41" s="58" customFormat="1" ht="17.25" customHeight="1" x14ac:dyDescent="0.2">
      <c r="A9" s="64" t="s">
        <v>84</v>
      </c>
      <c r="B9" s="13"/>
      <c r="C9" s="14">
        <f t="shared" si="12"/>
        <v>115700</v>
      </c>
      <c r="D9" s="14"/>
      <c r="E9" s="3"/>
      <c r="F9" s="132"/>
      <c r="G9" s="65"/>
      <c r="H9" s="65">
        <f t="shared" si="0"/>
        <v>0</v>
      </c>
      <c r="I9" s="132">
        <v>115700</v>
      </c>
      <c r="J9" s="66"/>
      <c r="K9" s="66">
        <f t="shared" si="1"/>
        <v>115700</v>
      </c>
      <c r="L9" s="132"/>
      <c r="M9" s="65"/>
      <c r="N9" s="65">
        <f>L9+M9</f>
        <v>0</v>
      </c>
      <c r="O9" s="132"/>
      <c r="P9" s="66"/>
      <c r="Q9" s="66">
        <f t="shared" si="3"/>
        <v>0</v>
      </c>
      <c r="R9" s="132"/>
      <c r="S9" s="65"/>
      <c r="T9" s="65">
        <f t="shared" si="4"/>
        <v>0</v>
      </c>
      <c r="U9" s="132">
        <v>0</v>
      </c>
      <c r="V9" s="66"/>
      <c r="W9" s="66">
        <f t="shared" si="5"/>
        <v>0</v>
      </c>
      <c r="X9" s="132"/>
      <c r="Y9" s="65"/>
      <c r="Z9" s="65">
        <f t="shared" si="6"/>
        <v>0</v>
      </c>
      <c r="AA9" s="132"/>
      <c r="AB9" s="66"/>
      <c r="AC9" s="66">
        <f t="shared" si="7"/>
        <v>0</v>
      </c>
      <c r="AD9" s="65"/>
      <c r="AE9" s="65"/>
      <c r="AF9" s="65"/>
      <c r="AG9" s="66"/>
      <c r="AH9" s="66"/>
      <c r="AI9" s="66"/>
      <c r="AJ9" s="65"/>
      <c r="AK9" s="65"/>
      <c r="AL9" s="65"/>
      <c r="AM9" s="66"/>
      <c r="AN9" s="66"/>
      <c r="AO9" s="66"/>
    </row>
    <row r="10" spans="1:41" s="58" customFormat="1" ht="17.25" customHeight="1" x14ac:dyDescent="0.2">
      <c r="A10" s="64" t="s">
        <v>86</v>
      </c>
      <c r="B10" s="13"/>
      <c r="C10" s="14">
        <f t="shared" si="12"/>
        <v>26950</v>
      </c>
      <c r="D10" s="14"/>
      <c r="E10" s="3"/>
      <c r="F10" s="132"/>
      <c r="G10" s="65"/>
      <c r="H10" s="65">
        <f t="shared" si="0"/>
        <v>0</v>
      </c>
      <c r="I10" s="132">
        <v>0</v>
      </c>
      <c r="J10" s="66"/>
      <c r="K10" s="66">
        <f t="shared" si="1"/>
        <v>0</v>
      </c>
      <c r="L10" s="132"/>
      <c r="M10" s="65"/>
      <c r="N10" s="65">
        <f>L10+M10</f>
        <v>0</v>
      </c>
      <c r="O10" s="132">
        <v>28800</v>
      </c>
      <c r="P10" s="66"/>
      <c r="Q10" s="66">
        <f t="shared" si="3"/>
        <v>28800</v>
      </c>
      <c r="R10" s="132">
        <v>-1850</v>
      </c>
      <c r="S10" s="65"/>
      <c r="T10" s="65">
        <f t="shared" si="4"/>
        <v>-1850</v>
      </c>
      <c r="U10" s="132">
        <v>0</v>
      </c>
      <c r="V10" s="66"/>
      <c r="W10" s="66">
        <f t="shared" si="5"/>
        <v>0</v>
      </c>
      <c r="X10" s="132"/>
      <c r="Y10" s="65"/>
      <c r="Z10" s="65">
        <f t="shared" si="6"/>
        <v>0</v>
      </c>
      <c r="AA10" s="132"/>
      <c r="AB10" s="66"/>
      <c r="AC10" s="66">
        <f t="shared" si="7"/>
        <v>0</v>
      </c>
      <c r="AD10" s="65"/>
      <c r="AE10" s="65"/>
      <c r="AF10" s="65"/>
      <c r="AG10" s="66"/>
      <c r="AH10" s="66"/>
      <c r="AI10" s="66"/>
      <c r="AJ10" s="65"/>
      <c r="AK10" s="65"/>
      <c r="AL10" s="65"/>
      <c r="AM10" s="66"/>
      <c r="AN10" s="66"/>
      <c r="AO10" s="66"/>
    </row>
    <row r="11" spans="1:41" s="58" customFormat="1" ht="17.25" customHeight="1" x14ac:dyDescent="0.2">
      <c r="A11" s="64" t="s">
        <v>88</v>
      </c>
      <c r="B11" s="13"/>
      <c r="C11" s="14">
        <f t="shared" ref="C11:C21" si="13">H11+K11+N11+Q11+T11+W11+Z11+AC11+AF11+AI11+AL11+AO11</f>
        <v>294150</v>
      </c>
      <c r="D11" s="14"/>
      <c r="E11" s="3"/>
      <c r="F11" s="132">
        <v>294150</v>
      </c>
      <c r="G11" s="65"/>
      <c r="H11" s="65">
        <f t="shared" si="0"/>
        <v>294150</v>
      </c>
      <c r="I11" s="132"/>
      <c r="J11" s="66"/>
      <c r="K11" s="66">
        <f t="shared" si="1"/>
        <v>0</v>
      </c>
      <c r="L11" s="132"/>
      <c r="M11" s="65"/>
      <c r="N11" s="65">
        <f t="shared" si="2"/>
        <v>0</v>
      </c>
      <c r="O11" s="132"/>
      <c r="P11" s="66"/>
      <c r="Q11" s="66">
        <f t="shared" si="3"/>
        <v>0</v>
      </c>
      <c r="R11" s="132"/>
      <c r="S11" s="65"/>
      <c r="T11" s="65">
        <f t="shared" si="4"/>
        <v>0</v>
      </c>
      <c r="U11" s="132"/>
      <c r="V11" s="66"/>
      <c r="W11" s="66">
        <f t="shared" si="5"/>
        <v>0</v>
      </c>
      <c r="X11" s="132"/>
      <c r="Y11" s="65"/>
      <c r="Z11" s="65">
        <f t="shared" si="6"/>
        <v>0</v>
      </c>
      <c r="AA11" s="132"/>
      <c r="AB11" s="66"/>
      <c r="AC11" s="66">
        <f t="shared" si="7"/>
        <v>0</v>
      </c>
      <c r="AD11" s="65"/>
      <c r="AE11" s="65"/>
      <c r="AF11" s="65">
        <f t="shared" si="8"/>
        <v>0</v>
      </c>
      <c r="AG11" s="66"/>
      <c r="AH11" s="66"/>
      <c r="AI11" s="66">
        <f t="shared" si="9"/>
        <v>0</v>
      </c>
      <c r="AJ11" s="65"/>
      <c r="AK11" s="65"/>
      <c r="AL11" s="65">
        <f t="shared" si="10"/>
        <v>0</v>
      </c>
      <c r="AM11" s="66"/>
      <c r="AN11" s="66"/>
      <c r="AO11" s="66">
        <f t="shared" ref="AO11" si="14">AM11+AN11</f>
        <v>0</v>
      </c>
    </row>
    <row r="12" spans="1:41" s="58" customFormat="1" ht="17.25" customHeight="1" x14ac:dyDescent="0.2">
      <c r="A12" s="64" t="s">
        <v>58</v>
      </c>
      <c r="B12" s="13"/>
      <c r="C12" s="14">
        <f t="shared" si="13"/>
        <v>176540</v>
      </c>
      <c r="D12" s="14"/>
      <c r="E12" s="3"/>
      <c r="F12" s="132">
        <v>176540</v>
      </c>
      <c r="G12" s="65"/>
      <c r="H12" s="65">
        <f t="shared" si="0"/>
        <v>176540</v>
      </c>
      <c r="I12" s="132"/>
      <c r="J12" s="66"/>
      <c r="K12" s="66">
        <f t="shared" si="1"/>
        <v>0</v>
      </c>
      <c r="L12" s="132"/>
      <c r="M12" s="65"/>
      <c r="N12" s="65">
        <f>L12+M12</f>
        <v>0</v>
      </c>
      <c r="O12" s="132"/>
      <c r="P12" s="66"/>
      <c r="Q12" s="66">
        <f t="shared" si="3"/>
        <v>0</v>
      </c>
      <c r="R12" s="132"/>
      <c r="S12" s="65"/>
      <c r="T12" s="65">
        <f t="shared" si="4"/>
        <v>0</v>
      </c>
      <c r="U12" s="132"/>
      <c r="V12" s="66"/>
      <c r="W12" s="66">
        <f t="shared" si="5"/>
        <v>0</v>
      </c>
      <c r="X12" s="132"/>
      <c r="Y12" s="65"/>
      <c r="Z12" s="65">
        <f t="shared" si="6"/>
        <v>0</v>
      </c>
      <c r="AA12" s="132"/>
      <c r="AB12" s="66"/>
      <c r="AC12" s="66">
        <f t="shared" si="7"/>
        <v>0</v>
      </c>
      <c r="AD12" s="65"/>
      <c r="AE12" s="65"/>
      <c r="AF12" s="65"/>
      <c r="AG12" s="66"/>
      <c r="AH12" s="66"/>
      <c r="AI12" s="66"/>
      <c r="AJ12" s="65"/>
      <c r="AK12" s="65"/>
      <c r="AL12" s="65"/>
      <c r="AM12" s="66"/>
      <c r="AN12" s="66"/>
      <c r="AO12" s="66"/>
    </row>
    <row r="13" spans="1:41" s="58" customFormat="1" ht="17.25" customHeight="1" x14ac:dyDescent="0.2">
      <c r="A13" s="64" t="s">
        <v>59</v>
      </c>
      <c r="B13" s="13"/>
      <c r="C13" s="14">
        <f t="shared" si="13"/>
        <v>5816</v>
      </c>
      <c r="D13" s="14"/>
      <c r="E13" s="3"/>
      <c r="F13" s="132">
        <v>100000</v>
      </c>
      <c r="G13" s="120">
        <f>-100000</f>
        <v>-100000</v>
      </c>
      <c r="H13" s="65">
        <f t="shared" si="0"/>
        <v>0</v>
      </c>
      <c r="I13" s="132">
        <v>46046</v>
      </c>
      <c r="J13" s="120">
        <v>-46046</v>
      </c>
      <c r="K13" s="66">
        <f t="shared" si="1"/>
        <v>0</v>
      </c>
      <c r="L13" s="132"/>
      <c r="M13" s="65"/>
      <c r="N13" s="65">
        <f t="shared" si="2"/>
        <v>0</v>
      </c>
      <c r="O13" s="133">
        <f>217000+74152</f>
        <v>291152</v>
      </c>
      <c r="P13" s="120">
        <f>-217000-74152</f>
        <v>-291152</v>
      </c>
      <c r="Q13" s="66">
        <f t="shared" si="3"/>
        <v>0</v>
      </c>
      <c r="R13" s="132"/>
      <c r="S13" s="65"/>
      <c r="T13" s="65">
        <f t="shared" si="4"/>
        <v>0</v>
      </c>
      <c r="U13" s="132">
        <v>9568</v>
      </c>
      <c r="V13" s="120">
        <v>-9568</v>
      </c>
      <c r="W13" s="66">
        <f t="shared" si="5"/>
        <v>0</v>
      </c>
      <c r="X13" s="132"/>
      <c r="Y13" s="65"/>
      <c r="Z13" s="65">
        <f t="shared" si="6"/>
        <v>0</v>
      </c>
      <c r="AA13" s="132">
        <f>5816+15878</f>
        <v>21694</v>
      </c>
      <c r="AB13" s="120">
        <v>-15878</v>
      </c>
      <c r="AC13" s="66">
        <f t="shared" si="7"/>
        <v>5816</v>
      </c>
      <c r="AD13" s="65">
        <v>0</v>
      </c>
      <c r="AE13" s="120">
        <v>0</v>
      </c>
      <c r="AF13" s="65">
        <f t="shared" si="8"/>
        <v>0</v>
      </c>
      <c r="AG13" s="66"/>
      <c r="AH13" s="66"/>
      <c r="AI13" s="66">
        <f t="shared" si="9"/>
        <v>0</v>
      </c>
      <c r="AJ13" s="65"/>
      <c r="AK13" s="65"/>
      <c r="AL13" s="65">
        <f t="shared" si="10"/>
        <v>0</v>
      </c>
      <c r="AM13" s="66"/>
      <c r="AN13" s="66"/>
      <c r="AO13" s="66">
        <f t="shared" ref="AO13:AO21" si="15">AM13+AN13</f>
        <v>0</v>
      </c>
    </row>
    <row r="14" spans="1:41" s="58" customFormat="1" ht="17.25" customHeight="1" x14ac:dyDescent="0.2">
      <c r="A14" s="64" t="s">
        <v>87</v>
      </c>
      <c r="B14" s="13"/>
      <c r="C14" s="14">
        <f t="shared" si="13"/>
        <v>40400</v>
      </c>
      <c r="D14" s="14">
        <v>80000</v>
      </c>
      <c r="E14" s="3"/>
      <c r="F14" s="132">
        <v>40400</v>
      </c>
      <c r="G14" s="65"/>
      <c r="H14" s="65">
        <f t="shared" si="0"/>
        <v>40400</v>
      </c>
      <c r="I14" s="132"/>
      <c r="J14" s="66"/>
      <c r="K14" s="66">
        <f t="shared" si="1"/>
        <v>0</v>
      </c>
      <c r="L14" s="132"/>
      <c r="M14" s="65"/>
      <c r="N14" s="65">
        <f t="shared" si="2"/>
        <v>0</v>
      </c>
      <c r="O14" s="132"/>
      <c r="P14" s="66"/>
      <c r="Q14" s="66">
        <f t="shared" si="3"/>
        <v>0</v>
      </c>
      <c r="R14" s="132"/>
      <c r="S14" s="65"/>
      <c r="T14" s="65">
        <f t="shared" si="4"/>
        <v>0</v>
      </c>
      <c r="U14" s="132"/>
      <c r="V14" s="66"/>
      <c r="W14" s="66">
        <f t="shared" si="5"/>
        <v>0</v>
      </c>
      <c r="X14" s="132"/>
      <c r="Y14" s="65"/>
      <c r="Z14" s="65">
        <f t="shared" si="6"/>
        <v>0</v>
      </c>
      <c r="AA14" s="132"/>
      <c r="AB14" s="66"/>
      <c r="AC14" s="66">
        <f t="shared" si="7"/>
        <v>0</v>
      </c>
      <c r="AD14" s="65"/>
      <c r="AE14" s="65"/>
      <c r="AF14" s="65">
        <f t="shared" si="8"/>
        <v>0</v>
      </c>
      <c r="AG14" s="66"/>
      <c r="AH14" s="66"/>
      <c r="AI14" s="66">
        <f t="shared" si="9"/>
        <v>0</v>
      </c>
      <c r="AJ14" s="65"/>
      <c r="AK14" s="65"/>
      <c r="AL14" s="65">
        <f t="shared" si="10"/>
        <v>0</v>
      </c>
      <c r="AM14" s="66"/>
      <c r="AN14" s="66"/>
      <c r="AO14" s="66">
        <f t="shared" si="15"/>
        <v>0</v>
      </c>
    </row>
    <row r="15" spans="1:41" s="58" customFormat="1" ht="17.25" customHeight="1" x14ac:dyDescent="0.2">
      <c r="A15" s="64" t="s">
        <v>53</v>
      </c>
      <c r="B15" s="13"/>
      <c r="C15" s="14">
        <f t="shared" si="13"/>
        <v>211925</v>
      </c>
      <c r="D15" s="14">
        <v>45000</v>
      </c>
      <c r="E15" s="3"/>
      <c r="F15" s="132">
        <v>0</v>
      </c>
      <c r="G15" s="65"/>
      <c r="H15" s="65">
        <f t="shared" si="0"/>
        <v>0</v>
      </c>
      <c r="I15" s="132">
        <v>95085</v>
      </c>
      <c r="J15" s="66"/>
      <c r="K15" s="66">
        <f t="shared" si="1"/>
        <v>95085</v>
      </c>
      <c r="L15" s="132"/>
      <c r="M15" s="65"/>
      <c r="N15" s="65">
        <f t="shared" si="2"/>
        <v>0</v>
      </c>
      <c r="O15" s="132">
        <v>110740</v>
      </c>
      <c r="P15" s="66"/>
      <c r="Q15" s="66">
        <f t="shared" si="3"/>
        <v>110740</v>
      </c>
      <c r="R15" s="132"/>
      <c r="S15" s="65"/>
      <c r="T15" s="65">
        <f t="shared" si="4"/>
        <v>0</v>
      </c>
      <c r="U15" s="132">
        <v>800</v>
      </c>
      <c r="V15" s="66"/>
      <c r="W15" s="66">
        <f t="shared" si="5"/>
        <v>800</v>
      </c>
      <c r="X15" s="132"/>
      <c r="Y15" s="65"/>
      <c r="Z15" s="65">
        <f t="shared" si="6"/>
        <v>0</v>
      </c>
      <c r="AA15" s="132">
        <v>1500</v>
      </c>
      <c r="AB15" s="66"/>
      <c r="AC15" s="66">
        <f t="shared" si="7"/>
        <v>1500</v>
      </c>
      <c r="AD15" s="65">
        <v>3800</v>
      </c>
      <c r="AE15" s="65"/>
      <c r="AF15" s="65">
        <f t="shared" si="8"/>
        <v>3800</v>
      </c>
      <c r="AG15" s="66"/>
      <c r="AH15" s="66"/>
      <c r="AI15" s="66">
        <f t="shared" si="9"/>
        <v>0</v>
      </c>
      <c r="AJ15" s="65"/>
      <c r="AK15" s="65"/>
      <c r="AL15" s="65">
        <f t="shared" si="10"/>
        <v>0</v>
      </c>
      <c r="AM15" s="66"/>
      <c r="AN15" s="66"/>
      <c r="AO15" s="66">
        <f t="shared" si="15"/>
        <v>0</v>
      </c>
    </row>
    <row r="16" spans="1:41" s="58" customFormat="1" ht="17.25" customHeight="1" x14ac:dyDescent="0.2">
      <c r="A16" s="64" t="s">
        <v>54</v>
      </c>
      <c r="B16" s="13"/>
      <c r="C16" s="14">
        <f t="shared" si="13"/>
        <v>574182</v>
      </c>
      <c r="D16" s="14">
        <v>3000</v>
      </c>
      <c r="E16" s="3"/>
      <c r="F16" s="132">
        <f>419182+287000</f>
        <v>706182</v>
      </c>
      <c r="G16" s="120">
        <v>-137000</v>
      </c>
      <c r="H16" s="65">
        <f t="shared" si="0"/>
        <v>569182</v>
      </c>
      <c r="I16" s="132">
        <v>0</v>
      </c>
      <c r="J16" s="66"/>
      <c r="K16" s="66">
        <f t="shared" si="1"/>
        <v>0</v>
      </c>
      <c r="L16" s="132"/>
      <c r="M16" s="65"/>
      <c r="N16" s="65">
        <f t="shared" si="2"/>
        <v>0</v>
      </c>
      <c r="O16" s="132">
        <v>0</v>
      </c>
      <c r="P16" s="66"/>
      <c r="Q16" s="66">
        <f t="shared" si="3"/>
        <v>0</v>
      </c>
      <c r="R16" s="132"/>
      <c r="S16" s="65"/>
      <c r="T16" s="65">
        <f t="shared" si="4"/>
        <v>0</v>
      </c>
      <c r="U16" s="132">
        <v>5000</v>
      </c>
      <c r="V16" s="66"/>
      <c r="W16" s="66">
        <f t="shared" si="5"/>
        <v>5000</v>
      </c>
      <c r="X16" s="132"/>
      <c r="Y16" s="65"/>
      <c r="Z16" s="65">
        <f t="shared" si="6"/>
        <v>0</v>
      </c>
      <c r="AA16" s="132"/>
      <c r="AB16" s="66"/>
      <c r="AC16" s="66">
        <f t="shared" si="7"/>
        <v>0</v>
      </c>
      <c r="AD16" s="65"/>
      <c r="AE16" s="65"/>
      <c r="AF16" s="65">
        <f t="shared" si="8"/>
        <v>0</v>
      </c>
      <c r="AG16" s="66"/>
      <c r="AH16" s="66"/>
      <c r="AI16" s="66">
        <f t="shared" si="9"/>
        <v>0</v>
      </c>
      <c r="AJ16" s="65"/>
      <c r="AK16" s="65"/>
      <c r="AL16" s="65">
        <f t="shared" si="10"/>
        <v>0</v>
      </c>
      <c r="AM16" s="66"/>
      <c r="AN16" s="66"/>
      <c r="AO16" s="66">
        <f t="shared" si="15"/>
        <v>0</v>
      </c>
    </row>
    <row r="17" spans="1:41" s="58" customFormat="1" ht="17.25" customHeight="1" x14ac:dyDescent="0.2">
      <c r="A17" s="12" t="s">
        <v>181</v>
      </c>
      <c r="B17" s="13"/>
      <c r="C17" s="14">
        <f t="shared" si="13"/>
        <v>444771</v>
      </c>
      <c r="D17" s="14">
        <v>32000</v>
      </c>
      <c r="E17" s="3"/>
      <c r="F17" s="132">
        <v>2100</v>
      </c>
      <c r="G17" s="65"/>
      <c r="H17" s="65">
        <f t="shared" si="0"/>
        <v>2100</v>
      </c>
      <c r="I17" s="132">
        <v>32925</v>
      </c>
      <c r="J17" s="66"/>
      <c r="K17" s="66">
        <f t="shared" si="1"/>
        <v>32925</v>
      </c>
      <c r="L17" s="132"/>
      <c r="M17" s="65"/>
      <c r="N17" s="65">
        <f t="shared" si="2"/>
        <v>0</v>
      </c>
      <c r="O17" s="132">
        <v>0</v>
      </c>
      <c r="P17" s="66"/>
      <c r="Q17" s="66">
        <f t="shared" si="3"/>
        <v>0</v>
      </c>
      <c r="R17" s="132">
        <v>409746</v>
      </c>
      <c r="S17" s="65"/>
      <c r="T17" s="65">
        <f t="shared" si="4"/>
        <v>409746</v>
      </c>
      <c r="U17" s="132"/>
      <c r="V17" s="66"/>
      <c r="W17" s="66">
        <f t="shared" si="5"/>
        <v>0</v>
      </c>
      <c r="X17" s="132"/>
      <c r="Y17" s="65"/>
      <c r="Z17" s="65">
        <f t="shared" si="6"/>
        <v>0</v>
      </c>
      <c r="AA17" s="132"/>
      <c r="AB17" s="66"/>
      <c r="AC17" s="66">
        <f t="shared" si="7"/>
        <v>0</v>
      </c>
      <c r="AD17" s="65"/>
      <c r="AE17" s="65"/>
      <c r="AF17" s="65">
        <f t="shared" si="8"/>
        <v>0</v>
      </c>
      <c r="AG17" s="66"/>
      <c r="AH17" s="66"/>
      <c r="AI17" s="66">
        <f t="shared" si="9"/>
        <v>0</v>
      </c>
      <c r="AJ17" s="65"/>
      <c r="AK17" s="65"/>
      <c r="AL17" s="65">
        <f t="shared" si="10"/>
        <v>0</v>
      </c>
      <c r="AM17" s="66"/>
      <c r="AN17" s="66"/>
      <c r="AO17" s="66">
        <f t="shared" si="15"/>
        <v>0</v>
      </c>
    </row>
    <row r="18" spans="1:41" s="58" customFormat="1" ht="17.25" customHeight="1" x14ac:dyDescent="0.2">
      <c r="A18" s="64" t="s">
        <v>56</v>
      </c>
      <c r="B18" s="13"/>
      <c r="C18" s="14">
        <f t="shared" si="13"/>
        <v>28800</v>
      </c>
      <c r="D18" s="14">
        <v>70000</v>
      </c>
      <c r="E18" s="3"/>
      <c r="F18" s="132">
        <v>28800</v>
      </c>
      <c r="G18" s="65"/>
      <c r="H18" s="65">
        <f t="shared" si="0"/>
        <v>28800</v>
      </c>
      <c r="I18" s="132"/>
      <c r="J18" s="66"/>
      <c r="K18" s="66">
        <f t="shared" si="1"/>
        <v>0</v>
      </c>
      <c r="L18" s="132"/>
      <c r="M18" s="65"/>
      <c r="N18" s="65">
        <f t="shared" si="2"/>
        <v>0</v>
      </c>
      <c r="O18" s="132"/>
      <c r="P18" s="66"/>
      <c r="Q18" s="66">
        <f t="shared" si="3"/>
        <v>0</v>
      </c>
      <c r="R18" s="132"/>
      <c r="S18" s="65"/>
      <c r="T18" s="65">
        <f t="shared" si="4"/>
        <v>0</v>
      </c>
      <c r="U18" s="132"/>
      <c r="V18" s="66"/>
      <c r="W18" s="66">
        <f t="shared" si="5"/>
        <v>0</v>
      </c>
      <c r="X18" s="132"/>
      <c r="Y18" s="65"/>
      <c r="Z18" s="65">
        <f t="shared" si="6"/>
        <v>0</v>
      </c>
      <c r="AA18" s="132"/>
      <c r="AB18" s="66"/>
      <c r="AC18" s="66">
        <f t="shared" si="7"/>
        <v>0</v>
      </c>
      <c r="AD18" s="65"/>
      <c r="AE18" s="65"/>
      <c r="AF18" s="65">
        <f t="shared" si="8"/>
        <v>0</v>
      </c>
      <c r="AG18" s="66"/>
      <c r="AH18" s="66"/>
      <c r="AI18" s="66">
        <f t="shared" si="9"/>
        <v>0</v>
      </c>
      <c r="AJ18" s="65"/>
      <c r="AK18" s="65"/>
      <c r="AL18" s="65">
        <f t="shared" si="10"/>
        <v>0</v>
      </c>
      <c r="AM18" s="66"/>
      <c r="AN18" s="66"/>
      <c r="AO18" s="66">
        <f t="shared" si="15"/>
        <v>0</v>
      </c>
    </row>
    <row r="19" spans="1:41" s="58" customFormat="1" ht="17.25" customHeight="1" x14ac:dyDescent="0.2">
      <c r="A19" s="12" t="s">
        <v>162</v>
      </c>
      <c r="B19" s="13"/>
      <c r="C19" s="14">
        <f t="shared" si="13"/>
        <v>130154</v>
      </c>
      <c r="D19" s="14">
        <v>70000</v>
      </c>
      <c r="E19" s="3"/>
      <c r="F19" s="132">
        <v>130154</v>
      </c>
      <c r="G19" s="65"/>
      <c r="H19" s="65">
        <f t="shared" si="0"/>
        <v>130154</v>
      </c>
      <c r="I19" s="132"/>
      <c r="J19" s="66"/>
      <c r="K19" s="66">
        <f t="shared" si="1"/>
        <v>0</v>
      </c>
      <c r="L19" s="132"/>
      <c r="M19" s="65"/>
      <c r="N19" s="65">
        <f t="shared" si="2"/>
        <v>0</v>
      </c>
      <c r="O19" s="132"/>
      <c r="P19" s="66"/>
      <c r="Q19" s="66">
        <f t="shared" si="3"/>
        <v>0</v>
      </c>
      <c r="R19" s="132"/>
      <c r="S19" s="65"/>
      <c r="T19" s="65">
        <f t="shared" si="4"/>
        <v>0</v>
      </c>
      <c r="U19" s="132"/>
      <c r="V19" s="66"/>
      <c r="W19" s="66">
        <f t="shared" si="5"/>
        <v>0</v>
      </c>
      <c r="X19" s="132"/>
      <c r="Y19" s="65"/>
      <c r="Z19" s="65">
        <f t="shared" si="6"/>
        <v>0</v>
      </c>
      <c r="AA19" s="132"/>
      <c r="AB19" s="66"/>
      <c r="AC19" s="66">
        <f t="shared" si="7"/>
        <v>0</v>
      </c>
      <c r="AD19" s="65"/>
      <c r="AE19" s="65"/>
      <c r="AF19" s="65">
        <f t="shared" si="8"/>
        <v>0</v>
      </c>
      <c r="AG19" s="66"/>
      <c r="AH19" s="66"/>
      <c r="AI19" s="66">
        <f t="shared" si="9"/>
        <v>0</v>
      </c>
      <c r="AJ19" s="65"/>
      <c r="AK19" s="65"/>
      <c r="AL19" s="65">
        <f t="shared" si="10"/>
        <v>0</v>
      </c>
      <c r="AM19" s="66"/>
      <c r="AN19" s="66"/>
      <c r="AO19" s="66">
        <f t="shared" si="15"/>
        <v>0</v>
      </c>
    </row>
    <row r="20" spans="1:41" s="58" customFormat="1" ht="17.25" customHeight="1" x14ac:dyDescent="0.2">
      <c r="A20" s="12" t="s">
        <v>124</v>
      </c>
      <c r="B20" s="13"/>
      <c r="C20" s="14">
        <f t="shared" si="13"/>
        <v>207499</v>
      </c>
      <c r="D20" s="14"/>
      <c r="E20" s="3"/>
      <c r="F20" s="132">
        <v>207499</v>
      </c>
      <c r="G20" s="65"/>
      <c r="H20" s="65">
        <f t="shared" si="0"/>
        <v>207499</v>
      </c>
      <c r="I20" s="132"/>
      <c r="J20" s="66"/>
      <c r="K20" s="66">
        <f t="shared" si="1"/>
        <v>0</v>
      </c>
      <c r="L20" s="132"/>
      <c r="M20" s="65"/>
      <c r="N20" s="65">
        <f t="shared" si="2"/>
        <v>0</v>
      </c>
      <c r="O20" s="132"/>
      <c r="P20" s="66"/>
      <c r="Q20" s="66">
        <f t="shared" si="3"/>
        <v>0</v>
      </c>
      <c r="R20" s="132"/>
      <c r="S20" s="65"/>
      <c r="T20" s="65">
        <f t="shared" si="4"/>
        <v>0</v>
      </c>
      <c r="U20" s="132"/>
      <c r="V20" s="66"/>
      <c r="W20" s="66">
        <f t="shared" si="5"/>
        <v>0</v>
      </c>
      <c r="X20" s="132"/>
      <c r="Y20" s="65"/>
      <c r="Z20" s="65">
        <f t="shared" si="6"/>
        <v>0</v>
      </c>
      <c r="AA20" s="132"/>
      <c r="AB20" s="66"/>
      <c r="AC20" s="66">
        <f t="shared" si="7"/>
        <v>0</v>
      </c>
      <c r="AD20" s="65"/>
      <c r="AE20" s="65"/>
      <c r="AF20" s="65">
        <f t="shared" si="8"/>
        <v>0</v>
      </c>
      <c r="AG20" s="66"/>
      <c r="AH20" s="66"/>
      <c r="AI20" s="66">
        <f t="shared" si="9"/>
        <v>0</v>
      </c>
      <c r="AJ20" s="65"/>
      <c r="AK20" s="65"/>
      <c r="AL20" s="65">
        <f t="shared" si="10"/>
        <v>0</v>
      </c>
      <c r="AM20" s="66"/>
      <c r="AN20" s="66"/>
      <c r="AO20" s="66">
        <f t="shared" si="15"/>
        <v>0</v>
      </c>
    </row>
    <row r="21" spans="1:41" s="58" customFormat="1" ht="17.25" customHeight="1" x14ac:dyDescent="0.2">
      <c r="A21" s="64" t="s">
        <v>55</v>
      </c>
      <c r="B21" s="13"/>
      <c r="C21" s="14">
        <f t="shared" si="13"/>
        <v>202744</v>
      </c>
      <c r="D21" s="14">
        <v>20000</v>
      </c>
      <c r="E21" s="3"/>
      <c r="F21" s="132">
        <v>29644</v>
      </c>
      <c r="G21" s="65"/>
      <c r="H21" s="65">
        <f t="shared" si="0"/>
        <v>29644</v>
      </c>
      <c r="I21" s="132">
        <v>71100</v>
      </c>
      <c r="J21" s="66"/>
      <c r="K21" s="66">
        <f t="shared" si="1"/>
        <v>71100</v>
      </c>
      <c r="L21" s="132"/>
      <c r="M21" s="65"/>
      <c r="N21" s="65">
        <f t="shared" si="2"/>
        <v>0</v>
      </c>
      <c r="O21" s="133">
        <v>0</v>
      </c>
      <c r="P21" s="66"/>
      <c r="Q21" s="66">
        <f t="shared" si="3"/>
        <v>0</v>
      </c>
      <c r="R21" s="132">
        <v>40000</v>
      </c>
      <c r="S21" s="65"/>
      <c r="T21" s="65">
        <f t="shared" si="4"/>
        <v>40000</v>
      </c>
      <c r="U21" s="132">
        <v>0</v>
      </c>
      <c r="V21" s="66"/>
      <c r="W21" s="66">
        <f t="shared" si="5"/>
        <v>0</v>
      </c>
      <c r="X21" s="132">
        <v>62000</v>
      </c>
      <c r="Y21" s="65"/>
      <c r="Z21" s="65">
        <f t="shared" si="6"/>
        <v>62000</v>
      </c>
      <c r="AA21" s="132"/>
      <c r="AB21" s="66"/>
      <c r="AC21" s="66">
        <f t="shared" si="7"/>
        <v>0</v>
      </c>
      <c r="AD21" s="65"/>
      <c r="AE21" s="65"/>
      <c r="AF21" s="65">
        <f t="shared" si="8"/>
        <v>0</v>
      </c>
      <c r="AG21" s="66"/>
      <c r="AH21" s="66"/>
      <c r="AI21" s="66">
        <f t="shared" si="9"/>
        <v>0</v>
      </c>
      <c r="AJ21" s="65"/>
      <c r="AK21" s="65"/>
      <c r="AL21" s="65">
        <f t="shared" si="10"/>
        <v>0</v>
      </c>
      <c r="AM21" s="66"/>
      <c r="AN21" s="66"/>
      <c r="AO21" s="66">
        <f t="shared" si="15"/>
        <v>0</v>
      </c>
    </row>
    <row r="22" spans="1:41" s="58" customFormat="1" ht="17.25" x14ac:dyDescent="0.3">
      <c r="A22" s="4" t="s">
        <v>5</v>
      </c>
      <c r="B22" s="16"/>
      <c r="C22" s="17">
        <f>SUM(C7:C21)</f>
        <v>2571134</v>
      </c>
      <c r="D22" s="17">
        <f>SUM(D7:D21)</f>
        <v>380000</v>
      </c>
      <c r="E22" s="3"/>
      <c r="F22" s="67">
        <f t="shared" ref="F22:AO22" si="16">SUM(F7:F21)</f>
        <v>1715469</v>
      </c>
      <c r="G22" s="67">
        <f t="shared" si="16"/>
        <v>-237000</v>
      </c>
      <c r="H22" s="67">
        <f t="shared" si="16"/>
        <v>1478469</v>
      </c>
      <c r="I22" s="67">
        <f t="shared" si="16"/>
        <v>460764</v>
      </c>
      <c r="J22" s="67">
        <f t="shared" si="16"/>
        <v>-46046</v>
      </c>
      <c r="K22" s="67">
        <f t="shared" si="16"/>
        <v>414718</v>
      </c>
      <c r="L22" s="67">
        <f t="shared" si="16"/>
        <v>0</v>
      </c>
      <c r="M22" s="67">
        <f t="shared" si="16"/>
        <v>0</v>
      </c>
      <c r="N22" s="67">
        <f t="shared" si="16"/>
        <v>0</v>
      </c>
      <c r="O22" s="67">
        <f t="shared" si="16"/>
        <v>442287</v>
      </c>
      <c r="P22" s="67">
        <f t="shared" si="16"/>
        <v>-291152</v>
      </c>
      <c r="Q22" s="67">
        <f t="shared" si="16"/>
        <v>151135</v>
      </c>
      <c r="R22" s="67">
        <f t="shared" si="16"/>
        <v>447896</v>
      </c>
      <c r="S22" s="67">
        <f t="shared" si="16"/>
        <v>0</v>
      </c>
      <c r="T22" s="67">
        <f t="shared" si="16"/>
        <v>447896</v>
      </c>
      <c r="U22" s="67">
        <f t="shared" si="16"/>
        <v>15368</v>
      </c>
      <c r="V22" s="67">
        <f t="shared" si="16"/>
        <v>-9568</v>
      </c>
      <c r="W22" s="67">
        <f t="shared" si="16"/>
        <v>5800</v>
      </c>
      <c r="X22" s="67">
        <f t="shared" si="16"/>
        <v>62000</v>
      </c>
      <c r="Y22" s="67">
        <f t="shared" si="16"/>
        <v>0</v>
      </c>
      <c r="Z22" s="67">
        <f t="shared" si="16"/>
        <v>62000</v>
      </c>
      <c r="AA22" s="67">
        <f t="shared" si="16"/>
        <v>23194</v>
      </c>
      <c r="AB22" s="67">
        <f t="shared" si="16"/>
        <v>-15878</v>
      </c>
      <c r="AC22" s="67">
        <f t="shared" si="16"/>
        <v>7316</v>
      </c>
      <c r="AD22" s="67">
        <f t="shared" si="16"/>
        <v>3800</v>
      </c>
      <c r="AE22" s="67">
        <f t="shared" si="16"/>
        <v>0</v>
      </c>
      <c r="AF22" s="67">
        <f t="shared" si="16"/>
        <v>3800</v>
      </c>
      <c r="AG22" s="67">
        <f t="shared" si="16"/>
        <v>0</v>
      </c>
      <c r="AH22" s="67">
        <f t="shared" si="16"/>
        <v>0</v>
      </c>
      <c r="AI22" s="67">
        <f t="shared" si="16"/>
        <v>0</v>
      </c>
      <c r="AJ22" s="67">
        <f t="shared" si="16"/>
        <v>0</v>
      </c>
      <c r="AK22" s="67">
        <f t="shared" si="16"/>
        <v>0</v>
      </c>
      <c r="AL22" s="67">
        <f t="shared" si="16"/>
        <v>0</v>
      </c>
      <c r="AM22" s="67">
        <f t="shared" si="16"/>
        <v>0</v>
      </c>
      <c r="AN22" s="67">
        <f t="shared" si="16"/>
        <v>0</v>
      </c>
      <c r="AO22" s="67">
        <f t="shared" si="16"/>
        <v>0</v>
      </c>
    </row>
    <row r="23" spans="1:41" s="58" customFormat="1" ht="21.95" customHeight="1" x14ac:dyDescent="0.3">
      <c r="A23" s="15"/>
      <c r="B23" s="16"/>
      <c r="C23" s="18"/>
      <c r="D23" s="18"/>
      <c r="E23" s="3"/>
      <c r="F23" s="65"/>
      <c r="G23" s="65"/>
      <c r="H23" s="65"/>
      <c r="I23" s="66"/>
      <c r="J23" s="66"/>
      <c r="K23" s="66"/>
      <c r="L23" s="65"/>
      <c r="M23" s="65"/>
      <c r="N23" s="65"/>
      <c r="O23" s="66"/>
      <c r="P23" s="66"/>
      <c r="Q23" s="66"/>
      <c r="R23" s="65"/>
      <c r="S23" s="65"/>
      <c r="T23" s="65"/>
      <c r="U23" s="66"/>
      <c r="V23" s="66"/>
      <c r="W23" s="66"/>
      <c r="X23" s="65"/>
      <c r="Y23" s="65"/>
      <c r="Z23" s="65"/>
      <c r="AA23" s="66"/>
      <c r="AB23" s="66"/>
      <c r="AC23" s="66"/>
      <c r="AD23" s="65"/>
      <c r="AE23" s="65"/>
      <c r="AF23" s="65"/>
      <c r="AG23" s="66"/>
      <c r="AH23" s="66"/>
      <c r="AI23" s="66"/>
      <c r="AJ23" s="65"/>
      <c r="AK23" s="65"/>
      <c r="AL23" s="65"/>
      <c r="AM23" s="66"/>
      <c r="AN23" s="66"/>
      <c r="AO23" s="66"/>
    </row>
    <row r="24" spans="1:41" s="58" customFormat="1" ht="17.25" x14ac:dyDescent="0.3">
      <c r="A24" s="4" t="s">
        <v>6</v>
      </c>
      <c r="B24" s="16"/>
      <c r="C24" s="19"/>
      <c r="D24" s="19"/>
      <c r="E24" s="3"/>
      <c r="F24" s="65"/>
      <c r="G24" s="65"/>
      <c r="H24" s="65"/>
      <c r="I24" s="66"/>
      <c r="J24" s="66"/>
      <c r="K24" s="66"/>
      <c r="L24" s="65"/>
      <c r="M24" s="65"/>
      <c r="N24" s="65"/>
      <c r="O24" s="66"/>
      <c r="P24" s="66"/>
      <c r="Q24" s="66"/>
      <c r="R24" s="65"/>
      <c r="S24" s="65"/>
      <c r="T24" s="65"/>
      <c r="U24" s="66"/>
      <c r="V24" s="66"/>
      <c r="W24" s="66"/>
      <c r="X24" s="65"/>
      <c r="Y24" s="65"/>
      <c r="Z24" s="65"/>
      <c r="AA24" s="66"/>
      <c r="AB24" s="66"/>
      <c r="AC24" s="66"/>
      <c r="AD24" s="65"/>
      <c r="AE24" s="65"/>
      <c r="AF24" s="65"/>
      <c r="AG24" s="66"/>
      <c r="AH24" s="66"/>
      <c r="AI24" s="66"/>
      <c r="AJ24" s="65"/>
      <c r="AK24" s="65"/>
      <c r="AL24" s="65"/>
      <c r="AM24" s="66"/>
      <c r="AN24" s="66"/>
      <c r="AO24" s="66"/>
    </row>
    <row r="25" spans="1:41" s="58" customFormat="1" ht="9.9499999999999993" customHeight="1" x14ac:dyDescent="0.3">
      <c r="A25" s="15"/>
      <c r="B25" s="16"/>
      <c r="C25" s="19"/>
      <c r="D25" s="19"/>
      <c r="E25" s="3"/>
      <c r="F25" s="65"/>
      <c r="G25" s="65"/>
      <c r="H25" s="65"/>
      <c r="I25" s="66"/>
      <c r="J25" s="66"/>
      <c r="K25" s="66"/>
      <c r="L25" s="65"/>
      <c r="M25" s="65"/>
      <c r="N25" s="65"/>
      <c r="O25" s="66"/>
      <c r="P25" s="66"/>
      <c r="Q25" s="66"/>
      <c r="R25" s="65"/>
      <c r="S25" s="65"/>
      <c r="T25" s="65"/>
      <c r="U25" s="66"/>
      <c r="V25" s="66"/>
      <c r="W25" s="66"/>
      <c r="X25" s="65"/>
      <c r="Y25" s="65"/>
      <c r="Z25" s="65"/>
      <c r="AA25" s="66"/>
      <c r="AB25" s="66"/>
      <c r="AC25" s="66"/>
      <c r="AD25" s="65"/>
      <c r="AE25" s="65"/>
      <c r="AF25" s="65"/>
      <c r="AG25" s="66"/>
      <c r="AH25" s="66"/>
      <c r="AI25" s="66"/>
      <c r="AJ25" s="65"/>
      <c r="AK25" s="65"/>
      <c r="AL25" s="65"/>
      <c r="AM25" s="66"/>
      <c r="AN25" s="66"/>
      <c r="AO25" s="66"/>
    </row>
    <row r="26" spans="1:41" s="58" customFormat="1" ht="16.5" customHeight="1" x14ac:dyDescent="0.3">
      <c r="A26" s="68" t="s">
        <v>89</v>
      </c>
      <c r="B26" s="16"/>
      <c r="C26" s="14">
        <f>H26+K26+N26+Q26+T26+W26+Z26+AC26+AF26+AI26+AL26+AO26</f>
        <v>40941</v>
      </c>
      <c r="D26" s="19"/>
      <c r="E26" s="3"/>
      <c r="F26" s="132">
        <v>0</v>
      </c>
      <c r="G26" s="65"/>
      <c r="H26" s="65">
        <f t="shared" si="0"/>
        <v>0</v>
      </c>
      <c r="I26" s="132">
        <v>26745</v>
      </c>
      <c r="J26" s="66"/>
      <c r="K26" s="66">
        <f t="shared" si="1"/>
        <v>26745</v>
      </c>
      <c r="L26" s="132"/>
      <c r="M26" s="65"/>
      <c r="N26" s="65">
        <f t="shared" si="2"/>
        <v>0</v>
      </c>
      <c r="O26" s="132">
        <v>10884</v>
      </c>
      <c r="P26" s="66"/>
      <c r="Q26" s="66">
        <f t="shared" si="3"/>
        <v>10884</v>
      </c>
      <c r="R26" s="132">
        <v>3312</v>
      </c>
      <c r="S26" s="65"/>
      <c r="T26" s="65">
        <f t="shared" si="4"/>
        <v>3312</v>
      </c>
      <c r="U26" s="132">
        <v>0</v>
      </c>
      <c r="V26" s="66"/>
      <c r="W26" s="66">
        <f t="shared" si="5"/>
        <v>0</v>
      </c>
      <c r="X26" s="132"/>
      <c r="Y26" s="65"/>
      <c r="Z26" s="65">
        <f t="shared" si="6"/>
        <v>0</v>
      </c>
      <c r="AA26" s="132"/>
      <c r="AB26" s="66"/>
      <c r="AC26" s="66">
        <f t="shared" si="7"/>
        <v>0</v>
      </c>
      <c r="AD26" s="65"/>
      <c r="AE26" s="65"/>
      <c r="AF26" s="65">
        <f t="shared" si="8"/>
        <v>0</v>
      </c>
      <c r="AG26" s="66"/>
      <c r="AH26" s="66"/>
      <c r="AI26" s="66">
        <f t="shared" si="9"/>
        <v>0</v>
      </c>
      <c r="AJ26" s="65"/>
      <c r="AK26" s="65"/>
      <c r="AL26" s="65">
        <f t="shared" si="10"/>
        <v>0</v>
      </c>
      <c r="AM26" s="66"/>
      <c r="AN26" s="66"/>
      <c r="AO26" s="66">
        <f t="shared" ref="AO26:AO30" si="17">AM26+AN26</f>
        <v>0</v>
      </c>
    </row>
    <row r="27" spans="1:41" s="58" customFormat="1" ht="16.5" customHeight="1" x14ac:dyDescent="0.3">
      <c r="A27" s="68" t="s">
        <v>60</v>
      </c>
      <c r="B27" s="16"/>
      <c r="C27" s="14">
        <f>H27+K27+N27+Q27+T27+W27+Z27+AC27+AF27+AI27+AL27+AO27</f>
        <v>674666</v>
      </c>
      <c r="D27" s="19">
        <v>35000</v>
      </c>
      <c r="E27" s="3"/>
      <c r="F27" s="132">
        <v>442364</v>
      </c>
      <c r="G27" s="65"/>
      <c r="H27" s="65">
        <f t="shared" si="0"/>
        <v>442364</v>
      </c>
      <c r="I27" s="132">
        <v>40846</v>
      </c>
      <c r="J27" s="66"/>
      <c r="K27" s="66">
        <f t="shared" si="1"/>
        <v>40846</v>
      </c>
      <c r="L27" s="132">
        <v>0</v>
      </c>
      <c r="M27" s="65"/>
      <c r="N27" s="65">
        <f t="shared" si="2"/>
        <v>0</v>
      </c>
      <c r="O27" s="132">
        <v>183456</v>
      </c>
      <c r="P27" s="66"/>
      <c r="Q27" s="66">
        <f t="shared" si="3"/>
        <v>183456</v>
      </c>
      <c r="R27" s="132">
        <v>0</v>
      </c>
      <c r="S27" s="65"/>
      <c r="T27" s="65">
        <f t="shared" si="4"/>
        <v>0</v>
      </c>
      <c r="U27" s="132"/>
      <c r="V27" s="66"/>
      <c r="W27" s="66">
        <f t="shared" si="5"/>
        <v>0</v>
      </c>
      <c r="X27" s="132">
        <v>0</v>
      </c>
      <c r="Y27" s="65"/>
      <c r="Z27" s="65">
        <f t="shared" si="6"/>
        <v>0</v>
      </c>
      <c r="AA27" s="132">
        <v>8000</v>
      </c>
      <c r="AB27" s="66"/>
      <c r="AC27" s="66">
        <f t="shared" si="7"/>
        <v>8000</v>
      </c>
      <c r="AD27" s="65"/>
      <c r="AE27" s="65"/>
      <c r="AF27" s="65">
        <f t="shared" si="8"/>
        <v>0</v>
      </c>
      <c r="AG27" s="66"/>
      <c r="AH27" s="66"/>
      <c r="AI27" s="66">
        <f t="shared" si="9"/>
        <v>0</v>
      </c>
      <c r="AJ27" s="65"/>
      <c r="AK27" s="65"/>
      <c r="AL27" s="65">
        <f t="shared" si="10"/>
        <v>0</v>
      </c>
      <c r="AM27" s="66"/>
      <c r="AN27" s="66"/>
      <c r="AO27" s="66">
        <f t="shared" si="17"/>
        <v>0</v>
      </c>
    </row>
    <row r="28" spans="1:41" s="58" customFormat="1" ht="16.5" customHeight="1" x14ac:dyDescent="0.3">
      <c r="A28" s="68" t="s">
        <v>62</v>
      </c>
      <c r="B28" s="16"/>
      <c r="C28" s="14">
        <f>H28+K28+N28+Q28+T28+W28+Z28+AC28+AF28+AI28+AL28+AO28</f>
        <v>125530</v>
      </c>
      <c r="D28" s="19">
        <v>0</v>
      </c>
      <c r="E28" s="3"/>
      <c r="F28" s="132">
        <v>112730</v>
      </c>
      <c r="G28" s="65"/>
      <c r="H28" s="65">
        <f t="shared" si="0"/>
        <v>112730</v>
      </c>
      <c r="I28" s="132"/>
      <c r="J28" s="66"/>
      <c r="K28" s="66">
        <f t="shared" si="1"/>
        <v>0</v>
      </c>
      <c r="L28" s="132"/>
      <c r="M28" s="65"/>
      <c r="N28" s="65">
        <f t="shared" si="2"/>
        <v>0</v>
      </c>
      <c r="O28" s="132">
        <v>8300</v>
      </c>
      <c r="P28" s="66"/>
      <c r="Q28" s="66">
        <f t="shared" si="3"/>
        <v>8300</v>
      </c>
      <c r="R28" s="132">
        <v>4500</v>
      </c>
      <c r="S28" s="65"/>
      <c r="T28" s="65">
        <f t="shared" si="4"/>
        <v>4500</v>
      </c>
      <c r="U28" s="132"/>
      <c r="V28" s="66"/>
      <c r="W28" s="66">
        <f t="shared" si="5"/>
        <v>0</v>
      </c>
      <c r="X28" s="132"/>
      <c r="Y28" s="65"/>
      <c r="Z28" s="65">
        <f t="shared" si="6"/>
        <v>0</v>
      </c>
      <c r="AA28" s="132"/>
      <c r="AB28" s="66"/>
      <c r="AC28" s="66">
        <f t="shared" si="7"/>
        <v>0</v>
      </c>
      <c r="AD28" s="65"/>
      <c r="AE28" s="65"/>
      <c r="AF28" s="65">
        <f t="shared" si="8"/>
        <v>0</v>
      </c>
      <c r="AG28" s="66"/>
      <c r="AH28" s="66"/>
      <c r="AI28" s="66">
        <f t="shared" si="9"/>
        <v>0</v>
      </c>
      <c r="AJ28" s="65"/>
      <c r="AK28" s="65"/>
      <c r="AL28" s="65">
        <f t="shared" si="10"/>
        <v>0</v>
      </c>
      <c r="AM28" s="66"/>
      <c r="AN28" s="66"/>
      <c r="AO28" s="66">
        <f t="shared" si="17"/>
        <v>0</v>
      </c>
    </row>
    <row r="29" spans="1:41" s="58" customFormat="1" ht="16.5" customHeight="1" x14ac:dyDescent="0.3">
      <c r="A29" s="68" t="s">
        <v>61</v>
      </c>
      <c r="B29" s="16"/>
      <c r="C29" s="14">
        <f>H29+K29+N29+Q29+T29+W29+Z29+AC29+AF29+AI29+AL29+AO29</f>
        <v>75439</v>
      </c>
      <c r="D29" s="19">
        <v>45000</v>
      </c>
      <c r="E29" s="3"/>
      <c r="F29" s="132">
        <v>75439</v>
      </c>
      <c r="G29" s="65"/>
      <c r="H29" s="65">
        <f t="shared" si="0"/>
        <v>75439</v>
      </c>
      <c r="I29" s="132"/>
      <c r="J29" s="66"/>
      <c r="K29" s="66">
        <f t="shared" si="1"/>
        <v>0</v>
      </c>
      <c r="L29" s="132"/>
      <c r="M29" s="65"/>
      <c r="N29" s="65">
        <f t="shared" si="2"/>
        <v>0</v>
      </c>
      <c r="O29" s="132"/>
      <c r="P29" s="66"/>
      <c r="Q29" s="66">
        <f t="shared" si="3"/>
        <v>0</v>
      </c>
      <c r="R29" s="132"/>
      <c r="S29" s="65"/>
      <c r="T29" s="65">
        <f t="shared" si="4"/>
        <v>0</v>
      </c>
      <c r="U29" s="132"/>
      <c r="V29" s="66"/>
      <c r="W29" s="66">
        <f t="shared" si="5"/>
        <v>0</v>
      </c>
      <c r="X29" s="132"/>
      <c r="Y29" s="65"/>
      <c r="Z29" s="65">
        <f t="shared" si="6"/>
        <v>0</v>
      </c>
      <c r="AA29" s="132"/>
      <c r="AB29" s="66"/>
      <c r="AC29" s="66">
        <f t="shared" si="7"/>
        <v>0</v>
      </c>
      <c r="AD29" s="65"/>
      <c r="AE29" s="65"/>
      <c r="AF29" s="65">
        <f t="shared" si="8"/>
        <v>0</v>
      </c>
      <c r="AG29" s="66"/>
      <c r="AH29" s="66"/>
      <c r="AI29" s="66">
        <f t="shared" si="9"/>
        <v>0</v>
      </c>
      <c r="AJ29" s="65"/>
      <c r="AK29" s="65"/>
      <c r="AL29" s="65">
        <f t="shared" si="10"/>
        <v>0</v>
      </c>
      <c r="AM29" s="66"/>
      <c r="AN29" s="66"/>
      <c r="AO29" s="66">
        <f t="shared" si="17"/>
        <v>0</v>
      </c>
    </row>
    <row r="30" spans="1:41" s="58" customFormat="1" ht="17.25" x14ac:dyDescent="0.3">
      <c r="A30" s="68" t="s">
        <v>63</v>
      </c>
      <c r="B30" s="16"/>
      <c r="C30" s="14">
        <f>H30+K30+N30+Q30+T30+W30+Z30+AC30+AF30+AI30+AL30+AO30</f>
        <v>1068692</v>
      </c>
      <c r="D30" s="19">
        <v>20000</v>
      </c>
      <c r="E30" s="3"/>
      <c r="F30" s="132">
        <f>463625+1719+145644-1</f>
        <v>610987</v>
      </c>
      <c r="G30" s="120">
        <v>-145644</v>
      </c>
      <c r="H30" s="65">
        <f t="shared" si="0"/>
        <v>465343</v>
      </c>
      <c r="I30" s="132">
        <v>316482</v>
      </c>
      <c r="J30" s="66"/>
      <c r="K30" s="66">
        <f t="shared" si="1"/>
        <v>316482</v>
      </c>
      <c r="L30" s="132"/>
      <c r="M30" s="65"/>
      <c r="N30" s="65">
        <f t="shared" si="2"/>
        <v>0</v>
      </c>
      <c r="O30" s="132">
        <f>204449+137000</f>
        <v>341449</v>
      </c>
      <c r="P30" s="120">
        <v>-137000</v>
      </c>
      <c r="Q30" s="66">
        <f t="shared" si="3"/>
        <v>204449</v>
      </c>
      <c r="R30" s="132">
        <v>6183</v>
      </c>
      <c r="S30" s="120"/>
      <c r="T30" s="65">
        <f t="shared" si="4"/>
        <v>6183</v>
      </c>
      <c r="U30" s="132">
        <v>14435</v>
      </c>
      <c r="V30" s="66"/>
      <c r="W30" s="66">
        <f t="shared" si="5"/>
        <v>14435</v>
      </c>
      <c r="X30" s="132">
        <v>58986</v>
      </c>
      <c r="Y30" s="65"/>
      <c r="Z30" s="65">
        <f t="shared" si="6"/>
        <v>58986</v>
      </c>
      <c r="AA30" s="132">
        <v>1719</v>
      </c>
      <c r="AB30" s="66"/>
      <c r="AC30" s="66">
        <f t="shared" si="7"/>
        <v>1719</v>
      </c>
      <c r="AD30" s="65">
        <v>1095</v>
      </c>
      <c r="AE30" s="120"/>
      <c r="AF30" s="65">
        <f t="shared" si="8"/>
        <v>1095</v>
      </c>
      <c r="AG30" s="66"/>
      <c r="AH30" s="66"/>
      <c r="AI30" s="66">
        <f t="shared" si="9"/>
        <v>0</v>
      </c>
      <c r="AJ30" s="65"/>
      <c r="AK30" s="65"/>
      <c r="AL30" s="65">
        <f t="shared" si="10"/>
        <v>0</v>
      </c>
      <c r="AM30" s="66"/>
      <c r="AN30" s="66"/>
      <c r="AO30" s="66">
        <f t="shared" si="17"/>
        <v>0</v>
      </c>
    </row>
    <row r="31" spans="1:41" s="58" customFormat="1" ht="17.25" x14ac:dyDescent="0.3">
      <c r="A31" s="4" t="s">
        <v>7</v>
      </c>
      <c r="B31" s="16"/>
      <c r="C31" s="17">
        <f>SUM(C26:C30)</f>
        <v>1985268</v>
      </c>
      <c r="D31" s="17">
        <f>SUM(D27:D30)</f>
        <v>100000</v>
      </c>
      <c r="E31" s="3"/>
      <c r="F31" s="17">
        <f t="shared" ref="F31:AO31" si="18">SUM(F26:F30)</f>
        <v>1241520</v>
      </c>
      <c r="G31" s="17">
        <f t="shared" si="18"/>
        <v>-145644</v>
      </c>
      <c r="H31" s="17">
        <f t="shared" si="18"/>
        <v>1095876</v>
      </c>
      <c r="I31" s="17">
        <f t="shared" si="18"/>
        <v>384073</v>
      </c>
      <c r="J31" s="17">
        <f t="shared" si="18"/>
        <v>0</v>
      </c>
      <c r="K31" s="17">
        <f t="shared" si="18"/>
        <v>384073</v>
      </c>
      <c r="L31" s="17">
        <f t="shared" si="18"/>
        <v>0</v>
      </c>
      <c r="M31" s="17">
        <f t="shared" si="18"/>
        <v>0</v>
      </c>
      <c r="N31" s="17">
        <f t="shared" si="18"/>
        <v>0</v>
      </c>
      <c r="O31" s="17">
        <f t="shared" si="18"/>
        <v>544089</v>
      </c>
      <c r="P31" s="17">
        <f t="shared" si="18"/>
        <v>-137000</v>
      </c>
      <c r="Q31" s="17">
        <f t="shared" si="18"/>
        <v>407089</v>
      </c>
      <c r="R31" s="17">
        <f t="shared" si="18"/>
        <v>13995</v>
      </c>
      <c r="S31" s="17">
        <f t="shared" si="18"/>
        <v>0</v>
      </c>
      <c r="T31" s="17">
        <f t="shared" si="18"/>
        <v>13995</v>
      </c>
      <c r="U31" s="17">
        <f t="shared" si="18"/>
        <v>14435</v>
      </c>
      <c r="V31" s="17">
        <f t="shared" si="18"/>
        <v>0</v>
      </c>
      <c r="W31" s="17">
        <f t="shared" si="18"/>
        <v>14435</v>
      </c>
      <c r="X31" s="17">
        <f t="shared" si="18"/>
        <v>58986</v>
      </c>
      <c r="Y31" s="17">
        <f t="shared" si="18"/>
        <v>0</v>
      </c>
      <c r="Z31" s="17">
        <f t="shared" si="18"/>
        <v>58986</v>
      </c>
      <c r="AA31" s="17">
        <f t="shared" si="18"/>
        <v>9719</v>
      </c>
      <c r="AB31" s="17">
        <f t="shared" si="18"/>
        <v>0</v>
      </c>
      <c r="AC31" s="17">
        <f t="shared" si="18"/>
        <v>9719</v>
      </c>
      <c r="AD31" s="17">
        <f t="shared" si="18"/>
        <v>1095</v>
      </c>
      <c r="AE31" s="17">
        <f t="shared" si="18"/>
        <v>0</v>
      </c>
      <c r="AF31" s="17">
        <f t="shared" si="18"/>
        <v>1095</v>
      </c>
      <c r="AG31" s="17">
        <f t="shared" si="18"/>
        <v>0</v>
      </c>
      <c r="AH31" s="17">
        <f t="shared" si="18"/>
        <v>0</v>
      </c>
      <c r="AI31" s="17">
        <f t="shared" si="18"/>
        <v>0</v>
      </c>
      <c r="AJ31" s="17">
        <f t="shared" si="18"/>
        <v>0</v>
      </c>
      <c r="AK31" s="17">
        <f t="shared" si="18"/>
        <v>0</v>
      </c>
      <c r="AL31" s="17">
        <f t="shared" si="18"/>
        <v>0</v>
      </c>
      <c r="AM31" s="17">
        <f t="shared" si="18"/>
        <v>0</v>
      </c>
      <c r="AN31" s="17">
        <f t="shared" si="18"/>
        <v>0</v>
      </c>
      <c r="AO31" s="17">
        <f t="shared" si="18"/>
        <v>0</v>
      </c>
    </row>
    <row r="32" spans="1:41" s="58" customFormat="1" ht="17.25" x14ac:dyDescent="0.3">
      <c r="A32" s="15"/>
      <c r="B32" s="16"/>
      <c r="C32" s="20"/>
      <c r="D32" s="20"/>
      <c r="E32" s="3"/>
      <c r="F32" s="65"/>
      <c r="G32" s="65"/>
      <c r="H32" s="65">
        <f t="shared" si="0"/>
        <v>0</v>
      </c>
      <c r="I32" s="66"/>
      <c r="J32" s="66"/>
      <c r="K32" s="66">
        <f t="shared" si="1"/>
        <v>0</v>
      </c>
      <c r="L32" s="65"/>
      <c r="M32" s="65"/>
      <c r="N32" s="65">
        <f t="shared" si="2"/>
        <v>0</v>
      </c>
      <c r="O32" s="66"/>
      <c r="P32" s="66"/>
      <c r="Q32" s="66">
        <f t="shared" si="3"/>
        <v>0</v>
      </c>
      <c r="R32" s="65"/>
      <c r="S32" s="65"/>
      <c r="T32" s="65">
        <f t="shared" si="4"/>
        <v>0</v>
      </c>
      <c r="U32" s="66"/>
      <c r="V32" s="66"/>
      <c r="W32" s="66">
        <f t="shared" si="5"/>
        <v>0</v>
      </c>
      <c r="X32" s="65"/>
      <c r="Y32" s="65"/>
      <c r="Z32" s="65">
        <f t="shared" si="6"/>
        <v>0</v>
      </c>
      <c r="AA32" s="66"/>
      <c r="AB32" s="66"/>
      <c r="AC32" s="66">
        <f t="shared" si="7"/>
        <v>0</v>
      </c>
      <c r="AD32" s="65"/>
      <c r="AE32" s="65"/>
      <c r="AF32" s="65">
        <f t="shared" si="8"/>
        <v>0</v>
      </c>
      <c r="AG32" s="66"/>
      <c r="AH32" s="66"/>
      <c r="AI32" s="66">
        <f t="shared" si="9"/>
        <v>0</v>
      </c>
      <c r="AJ32" s="65"/>
      <c r="AK32" s="65"/>
      <c r="AL32" s="65">
        <f t="shared" si="10"/>
        <v>0</v>
      </c>
      <c r="AM32" s="66"/>
      <c r="AN32" s="66"/>
      <c r="AO32" s="66">
        <f t="shared" ref="AO32" si="19">AM32+AN32</f>
        <v>0</v>
      </c>
    </row>
    <row r="33" spans="1:41" s="58" customFormat="1" ht="17.25" x14ac:dyDescent="0.3">
      <c r="A33" s="4" t="s">
        <v>8</v>
      </c>
      <c r="B33" s="16"/>
      <c r="C33" s="21">
        <f>C22-C31</f>
        <v>585866</v>
      </c>
      <c r="D33" s="21">
        <f>D22-D31</f>
        <v>280000</v>
      </c>
      <c r="E33" s="3"/>
      <c r="F33" s="21">
        <f t="shared" ref="F33:AO33" si="20">F22-F31</f>
        <v>473949</v>
      </c>
      <c r="G33" s="21">
        <f t="shared" si="20"/>
        <v>-91356</v>
      </c>
      <c r="H33" s="21">
        <f t="shared" si="20"/>
        <v>382593</v>
      </c>
      <c r="I33" s="21">
        <f t="shared" si="20"/>
        <v>76691</v>
      </c>
      <c r="J33" s="21">
        <f t="shared" si="20"/>
        <v>-46046</v>
      </c>
      <c r="K33" s="21">
        <f t="shared" si="20"/>
        <v>30645</v>
      </c>
      <c r="L33" s="21">
        <f t="shared" si="20"/>
        <v>0</v>
      </c>
      <c r="M33" s="21">
        <f t="shared" si="20"/>
        <v>0</v>
      </c>
      <c r="N33" s="21">
        <f t="shared" si="20"/>
        <v>0</v>
      </c>
      <c r="O33" s="21">
        <f t="shared" si="20"/>
        <v>-101802</v>
      </c>
      <c r="P33" s="21">
        <f t="shared" si="20"/>
        <v>-154152</v>
      </c>
      <c r="Q33" s="21">
        <f t="shared" si="20"/>
        <v>-255954</v>
      </c>
      <c r="R33" s="21">
        <f t="shared" si="20"/>
        <v>433901</v>
      </c>
      <c r="S33" s="21">
        <f t="shared" si="20"/>
        <v>0</v>
      </c>
      <c r="T33" s="21">
        <f t="shared" si="20"/>
        <v>433901</v>
      </c>
      <c r="U33" s="21">
        <f t="shared" si="20"/>
        <v>933</v>
      </c>
      <c r="V33" s="21">
        <f t="shared" si="20"/>
        <v>-9568</v>
      </c>
      <c r="W33" s="21">
        <f t="shared" si="20"/>
        <v>-8635</v>
      </c>
      <c r="X33" s="21">
        <f t="shared" si="20"/>
        <v>3014</v>
      </c>
      <c r="Y33" s="21">
        <f t="shared" si="20"/>
        <v>0</v>
      </c>
      <c r="Z33" s="21">
        <f t="shared" si="20"/>
        <v>3014</v>
      </c>
      <c r="AA33" s="21">
        <f t="shared" si="20"/>
        <v>13475</v>
      </c>
      <c r="AB33" s="21">
        <f t="shared" si="20"/>
        <v>-15878</v>
      </c>
      <c r="AC33" s="21">
        <f t="shared" si="20"/>
        <v>-2403</v>
      </c>
      <c r="AD33" s="21">
        <f t="shared" si="20"/>
        <v>2705</v>
      </c>
      <c r="AE33" s="21">
        <f t="shared" si="20"/>
        <v>0</v>
      </c>
      <c r="AF33" s="21">
        <f t="shared" si="20"/>
        <v>2705</v>
      </c>
      <c r="AG33" s="21">
        <f t="shared" si="20"/>
        <v>0</v>
      </c>
      <c r="AH33" s="21">
        <f t="shared" si="20"/>
        <v>0</v>
      </c>
      <c r="AI33" s="21">
        <f t="shared" si="20"/>
        <v>0</v>
      </c>
      <c r="AJ33" s="21">
        <f t="shared" si="20"/>
        <v>0</v>
      </c>
      <c r="AK33" s="21">
        <f t="shared" si="20"/>
        <v>0</v>
      </c>
      <c r="AL33" s="21">
        <f t="shared" si="20"/>
        <v>0</v>
      </c>
      <c r="AM33" s="21">
        <f t="shared" si="20"/>
        <v>0</v>
      </c>
      <c r="AN33" s="21">
        <f t="shared" si="20"/>
        <v>0</v>
      </c>
      <c r="AO33" s="21">
        <f t="shared" si="20"/>
        <v>0</v>
      </c>
    </row>
    <row r="34" spans="1:41" s="58" customFormat="1" ht="23.1" customHeight="1" x14ac:dyDescent="0.3">
      <c r="A34" s="22"/>
      <c r="B34" s="16"/>
      <c r="C34" s="18"/>
      <c r="D34" s="18"/>
      <c r="E34" s="3"/>
      <c r="F34" s="65"/>
      <c r="G34" s="65"/>
      <c r="H34" s="65"/>
      <c r="I34" s="66"/>
      <c r="J34" s="66"/>
      <c r="K34" s="66"/>
      <c r="L34" s="65"/>
      <c r="M34" s="65"/>
      <c r="N34" s="65"/>
      <c r="O34" s="66"/>
      <c r="P34" s="66"/>
      <c r="Q34" s="66"/>
      <c r="R34" s="65"/>
      <c r="S34" s="65"/>
      <c r="T34" s="65"/>
      <c r="U34" s="66"/>
      <c r="V34" s="66"/>
      <c r="W34" s="66"/>
      <c r="X34" s="65"/>
      <c r="Y34" s="65"/>
      <c r="Z34" s="65"/>
      <c r="AA34" s="66"/>
      <c r="AB34" s="66"/>
      <c r="AC34" s="66"/>
      <c r="AD34" s="65"/>
      <c r="AE34" s="65"/>
      <c r="AF34" s="65"/>
      <c r="AG34" s="66"/>
      <c r="AH34" s="66"/>
      <c r="AI34" s="66"/>
      <c r="AJ34" s="65"/>
      <c r="AK34" s="65"/>
      <c r="AL34" s="65"/>
      <c r="AM34" s="66"/>
      <c r="AN34" s="66"/>
      <c r="AO34" s="66"/>
    </row>
    <row r="35" spans="1:41" s="58" customFormat="1" ht="17.25" x14ac:dyDescent="0.3">
      <c r="A35" s="4" t="s">
        <v>9</v>
      </c>
      <c r="B35" s="16"/>
      <c r="C35" s="19"/>
      <c r="D35" s="19"/>
      <c r="E35" s="3"/>
      <c r="F35" s="65"/>
      <c r="G35" s="65"/>
      <c r="H35" s="65"/>
      <c r="I35" s="66"/>
      <c r="J35" s="66"/>
      <c r="K35" s="66"/>
      <c r="L35" s="65"/>
      <c r="M35" s="65"/>
      <c r="N35" s="65"/>
      <c r="O35" s="66"/>
      <c r="P35" s="66"/>
      <c r="Q35" s="66"/>
      <c r="R35" s="65"/>
      <c r="S35" s="65"/>
      <c r="T35" s="65"/>
      <c r="U35" s="66"/>
      <c r="V35" s="66"/>
      <c r="W35" s="66"/>
      <c r="X35" s="65"/>
      <c r="Y35" s="65"/>
      <c r="Z35" s="65"/>
      <c r="AA35" s="66"/>
      <c r="AB35" s="66"/>
      <c r="AC35" s="66"/>
      <c r="AD35" s="65"/>
      <c r="AE35" s="65"/>
      <c r="AF35" s="65"/>
      <c r="AG35" s="66"/>
      <c r="AH35" s="66"/>
      <c r="AI35" s="66"/>
      <c r="AJ35" s="65"/>
      <c r="AK35" s="65"/>
      <c r="AL35" s="65"/>
      <c r="AM35" s="66"/>
      <c r="AN35" s="66"/>
      <c r="AO35" s="66"/>
    </row>
    <row r="36" spans="1:41" s="58" customFormat="1" ht="9.9499999999999993" customHeight="1" x14ac:dyDescent="0.3">
      <c r="A36" s="4"/>
      <c r="B36" s="16"/>
      <c r="C36" s="19"/>
      <c r="D36" s="19"/>
      <c r="E36" s="3"/>
      <c r="F36" s="65"/>
      <c r="G36" s="65"/>
      <c r="H36" s="65"/>
      <c r="I36" s="66"/>
      <c r="J36" s="66"/>
      <c r="K36" s="66"/>
      <c r="L36" s="65"/>
      <c r="M36" s="65"/>
      <c r="N36" s="65"/>
      <c r="O36" s="66"/>
      <c r="P36" s="66"/>
      <c r="Q36" s="66"/>
      <c r="R36" s="65"/>
      <c r="S36" s="65"/>
      <c r="T36" s="65"/>
      <c r="U36" s="66"/>
      <c r="V36" s="66"/>
      <c r="W36" s="66"/>
      <c r="X36" s="65"/>
      <c r="Y36" s="65"/>
      <c r="Z36" s="65"/>
      <c r="AA36" s="66"/>
      <c r="AB36" s="66"/>
      <c r="AC36" s="66"/>
      <c r="AD36" s="65"/>
      <c r="AE36" s="65"/>
      <c r="AF36" s="65"/>
      <c r="AG36" s="66"/>
      <c r="AH36" s="66"/>
      <c r="AI36" s="66"/>
      <c r="AJ36" s="65"/>
      <c r="AK36" s="65"/>
      <c r="AL36" s="65"/>
      <c r="AM36" s="66"/>
      <c r="AN36" s="66"/>
      <c r="AO36" s="66"/>
    </row>
    <row r="37" spans="1:41" s="58" customFormat="1" ht="17.25" x14ac:dyDescent="0.3">
      <c r="A37" s="15" t="s">
        <v>10</v>
      </c>
      <c r="B37" s="16"/>
      <c r="C37" s="14">
        <f>H37+K37+N37+Q37+T37+W37+Z37+AC37+AF37+AI37+AL37+AO37</f>
        <v>5143</v>
      </c>
      <c r="D37" s="19">
        <v>0</v>
      </c>
      <c r="E37" s="3"/>
      <c r="F37" s="132">
        <v>66</v>
      </c>
      <c r="G37" s="65"/>
      <c r="H37" s="65">
        <f t="shared" si="0"/>
        <v>66</v>
      </c>
      <c r="I37" s="132">
        <v>123</v>
      </c>
      <c r="J37" s="66"/>
      <c r="K37" s="66">
        <f t="shared" si="1"/>
        <v>123</v>
      </c>
      <c r="L37" s="132">
        <v>0</v>
      </c>
      <c r="M37" s="65"/>
      <c r="N37" s="65">
        <f t="shared" si="2"/>
        <v>0</v>
      </c>
      <c r="O37" s="132">
        <v>71</v>
      </c>
      <c r="P37" s="66"/>
      <c r="Q37" s="66">
        <f t="shared" si="3"/>
        <v>71</v>
      </c>
      <c r="R37" s="132">
        <v>4782</v>
      </c>
      <c r="S37" s="65"/>
      <c r="T37" s="65">
        <f t="shared" si="4"/>
        <v>4782</v>
      </c>
      <c r="U37" s="132">
        <v>30</v>
      </c>
      <c r="V37" s="66"/>
      <c r="W37" s="66">
        <f t="shared" si="5"/>
        <v>30</v>
      </c>
      <c r="X37" s="132">
        <v>38</v>
      </c>
      <c r="Y37" s="65"/>
      <c r="Z37" s="65">
        <f t="shared" si="6"/>
        <v>38</v>
      </c>
      <c r="AA37" s="132">
        <v>31</v>
      </c>
      <c r="AB37" s="66"/>
      <c r="AC37" s="66">
        <f t="shared" si="7"/>
        <v>31</v>
      </c>
      <c r="AD37" s="65">
        <v>2</v>
      </c>
      <c r="AE37" s="65"/>
      <c r="AF37" s="65">
        <f t="shared" si="8"/>
        <v>2</v>
      </c>
      <c r="AG37" s="66"/>
      <c r="AH37" s="66"/>
      <c r="AI37" s="66">
        <f t="shared" si="9"/>
        <v>0</v>
      </c>
      <c r="AJ37" s="65"/>
      <c r="AK37" s="65"/>
      <c r="AL37" s="65">
        <f t="shared" si="10"/>
        <v>0</v>
      </c>
      <c r="AM37" s="66"/>
      <c r="AN37" s="66"/>
      <c r="AO37" s="66">
        <f t="shared" ref="AO37:AO39" si="21">AM37+AN37</f>
        <v>0</v>
      </c>
    </row>
    <row r="38" spans="1:41" s="58" customFormat="1" ht="17.25" x14ac:dyDescent="0.3">
      <c r="A38" s="68" t="s">
        <v>64</v>
      </c>
      <c r="B38" s="16"/>
      <c r="C38" s="14">
        <f>H38+K38+N38+Q38+T38+W38+Z38+AC38+AF38+AI38+AL38+AO38</f>
        <v>9203</v>
      </c>
      <c r="D38" s="19"/>
      <c r="E38" s="3"/>
      <c r="F38" s="132">
        <v>9203</v>
      </c>
      <c r="G38" s="65"/>
      <c r="H38" s="65">
        <f t="shared" si="0"/>
        <v>9203</v>
      </c>
      <c r="I38" s="132">
        <v>0</v>
      </c>
      <c r="J38" s="66"/>
      <c r="K38" s="66">
        <f t="shared" si="1"/>
        <v>0</v>
      </c>
      <c r="L38" s="132"/>
      <c r="M38" s="65"/>
      <c r="N38" s="65">
        <f t="shared" si="2"/>
        <v>0</v>
      </c>
      <c r="O38" s="132">
        <v>0</v>
      </c>
      <c r="P38" s="66"/>
      <c r="Q38" s="66">
        <f t="shared" si="3"/>
        <v>0</v>
      </c>
      <c r="R38" s="132">
        <v>0</v>
      </c>
      <c r="S38" s="65"/>
      <c r="T38" s="65">
        <f t="shared" si="4"/>
        <v>0</v>
      </c>
      <c r="U38" s="132">
        <v>0</v>
      </c>
      <c r="V38" s="66"/>
      <c r="W38" s="66">
        <f t="shared" si="5"/>
        <v>0</v>
      </c>
      <c r="X38" s="132">
        <v>0</v>
      </c>
      <c r="Y38" s="65"/>
      <c r="Z38" s="65">
        <f t="shared" si="6"/>
        <v>0</v>
      </c>
      <c r="AA38" s="132"/>
      <c r="AB38" s="66"/>
      <c r="AC38" s="66">
        <f t="shared" si="7"/>
        <v>0</v>
      </c>
      <c r="AD38" s="65"/>
      <c r="AE38" s="65"/>
      <c r="AF38" s="65">
        <f t="shared" si="8"/>
        <v>0</v>
      </c>
      <c r="AG38" s="66"/>
      <c r="AH38" s="66"/>
      <c r="AI38" s="66">
        <f t="shared" si="9"/>
        <v>0</v>
      </c>
      <c r="AJ38" s="65"/>
      <c r="AK38" s="65"/>
      <c r="AL38" s="65">
        <f t="shared" si="10"/>
        <v>0</v>
      </c>
      <c r="AM38" s="66"/>
      <c r="AN38" s="66"/>
      <c r="AO38" s="66">
        <f t="shared" si="21"/>
        <v>0</v>
      </c>
    </row>
    <row r="39" spans="1:41" s="58" customFormat="1" ht="17.25" x14ac:dyDescent="0.3">
      <c r="A39" s="68" t="s">
        <v>65</v>
      </c>
      <c r="B39" s="16"/>
      <c r="C39" s="14">
        <f>H39+K39+N39+Q39+T39+W39+Z39+AC39+AF39+AI39+AL39+AO39</f>
        <v>0</v>
      </c>
      <c r="D39" s="19"/>
      <c r="E39" s="3"/>
      <c r="F39" s="132"/>
      <c r="G39" s="65"/>
      <c r="H39" s="65">
        <f t="shared" si="0"/>
        <v>0</v>
      </c>
      <c r="I39" s="132"/>
      <c r="J39" s="66"/>
      <c r="K39" s="66">
        <f t="shared" si="1"/>
        <v>0</v>
      </c>
      <c r="L39" s="132"/>
      <c r="M39" s="65"/>
      <c r="N39" s="65">
        <f t="shared" si="2"/>
        <v>0</v>
      </c>
      <c r="O39" s="132"/>
      <c r="P39" s="66"/>
      <c r="Q39" s="66">
        <f t="shared" si="3"/>
        <v>0</v>
      </c>
      <c r="R39" s="132"/>
      <c r="S39" s="65"/>
      <c r="T39" s="65">
        <f t="shared" si="4"/>
        <v>0</v>
      </c>
      <c r="U39" s="132"/>
      <c r="V39" s="66"/>
      <c r="W39" s="66">
        <f t="shared" si="5"/>
        <v>0</v>
      </c>
      <c r="X39" s="132"/>
      <c r="Y39" s="65"/>
      <c r="Z39" s="65">
        <f t="shared" si="6"/>
        <v>0</v>
      </c>
      <c r="AA39" s="132"/>
      <c r="AB39" s="66"/>
      <c r="AC39" s="66">
        <f t="shared" si="7"/>
        <v>0</v>
      </c>
      <c r="AD39" s="65"/>
      <c r="AE39" s="65"/>
      <c r="AF39" s="65">
        <f t="shared" si="8"/>
        <v>0</v>
      </c>
      <c r="AG39" s="66"/>
      <c r="AH39" s="66"/>
      <c r="AI39" s="66">
        <f t="shared" si="9"/>
        <v>0</v>
      </c>
      <c r="AJ39" s="65"/>
      <c r="AK39" s="65"/>
      <c r="AL39" s="65">
        <f t="shared" si="10"/>
        <v>0</v>
      </c>
      <c r="AM39" s="66"/>
      <c r="AN39" s="66"/>
      <c r="AO39" s="66">
        <f t="shared" si="21"/>
        <v>0</v>
      </c>
    </row>
    <row r="40" spans="1:41" s="58" customFormat="1" ht="21.95" customHeight="1" x14ac:dyDescent="0.3">
      <c r="A40" s="4" t="s">
        <v>11</v>
      </c>
      <c r="B40" s="16"/>
      <c r="C40" s="17">
        <f>C37-C38-C39</f>
        <v>-4060</v>
      </c>
      <c r="D40" s="17">
        <f>SUM(D37:D37)</f>
        <v>0</v>
      </c>
      <c r="E40" s="3"/>
      <c r="F40" s="17">
        <f t="shared" ref="F40:AO40" si="22">F37-F38-F39</f>
        <v>-9137</v>
      </c>
      <c r="G40" s="17">
        <f t="shared" si="22"/>
        <v>0</v>
      </c>
      <c r="H40" s="17">
        <f t="shared" si="22"/>
        <v>-9137</v>
      </c>
      <c r="I40" s="17">
        <f t="shared" si="22"/>
        <v>123</v>
      </c>
      <c r="J40" s="17">
        <f t="shared" si="22"/>
        <v>0</v>
      </c>
      <c r="K40" s="17">
        <f t="shared" si="22"/>
        <v>123</v>
      </c>
      <c r="L40" s="17">
        <f t="shared" si="22"/>
        <v>0</v>
      </c>
      <c r="M40" s="17">
        <f t="shared" si="22"/>
        <v>0</v>
      </c>
      <c r="N40" s="17">
        <f t="shared" si="22"/>
        <v>0</v>
      </c>
      <c r="O40" s="17">
        <f t="shared" si="22"/>
        <v>71</v>
      </c>
      <c r="P40" s="17">
        <f t="shared" si="22"/>
        <v>0</v>
      </c>
      <c r="Q40" s="17">
        <f t="shared" si="22"/>
        <v>71</v>
      </c>
      <c r="R40" s="17">
        <f t="shared" si="22"/>
        <v>4782</v>
      </c>
      <c r="S40" s="17">
        <f t="shared" si="22"/>
        <v>0</v>
      </c>
      <c r="T40" s="17">
        <f t="shared" si="22"/>
        <v>4782</v>
      </c>
      <c r="U40" s="17">
        <f t="shared" si="22"/>
        <v>30</v>
      </c>
      <c r="V40" s="17">
        <f t="shared" si="22"/>
        <v>0</v>
      </c>
      <c r="W40" s="17">
        <f t="shared" si="22"/>
        <v>30</v>
      </c>
      <c r="X40" s="17">
        <f t="shared" si="22"/>
        <v>38</v>
      </c>
      <c r="Y40" s="17">
        <f t="shared" si="22"/>
        <v>0</v>
      </c>
      <c r="Z40" s="17">
        <f t="shared" si="22"/>
        <v>38</v>
      </c>
      <c r="AA40" s="17">
        <f t="shared" si="22"/>
        <v>31</v>
      </c>
      <c r="AB40" s="17">
        <f t="shared" si="22"/>
        <v>0</v>
      </c>
      <c r="AC40" s="17">
        <f t="shared" si="22"/>
        <v>31</v>
      </c>
      <c r="AD40" s="17">
        <f t="shared" si="22"/>
        <v>2</v>
      </c>
      <c r="AE40" s="17">
        <f t="shared" si="22"/>
        <v>0</v>
      </c>
      <c r="AF40" s="17">
        <f t="shared" si="22"/>
        <v>2</v>
      </c>
      <c r="AG40" s="17">
        <f t="shared" si="22"/>
        <v>0</v>
      </c>
      <c r="AH40" s="17">
        <f t="shared" si="22"/>
        <v>0</v>
      </c>
      <c r="AI40" s="17">
        <f t="shared" si="22"/>
        <v>0</v>
      </c>
      <c r="AJ40" s="17">
        <f t="shared" si="22"/>
        <v>0</v>
      </c>
      <c r="AK40" s="17">
        <f t="shared" si="22"/>
        <v>0</v>
      </c>
      <c r="AL40" s="17">
        <f t="shared" si="22"/>
        <v>0</v>
      </c>
      <c r="AM40" s="17">
        <f t="shared" si="22"/>
        <v>0</v>
      </c>
      <c r="AN40" s="17">
        <f t="shared" si="22"/>
        <v>0</v>
      </c>
      <c r="AO40" s="17">
        <f t="shared" si="22"/>
        <v>0</v>
      </c>
    </row>
    <row r="41" spans="1:41" s="58" customFormat="1" ht="17.25" x14ac:dyDescent="0.3">
      <c r="A41" s="15"/>
      <c r="B41" s="16"/>
      <c r="C41" s="18"/>
      <c r="D41" s="18"/>
      <c r="E41" s="3"/>
      <c r="F41" s="65"/>
      <c r="G41" s="65"/>
      <c r="H41" s="65">
        <f t="shared" si="0"/>
        <v>0</v>
      </c>
      <c r="I41" s="66"/>
      <c r="J41" s="66"/>
      <c r="K41" s="66">
        <f t="shared" si="1"/>
        <v>0</v>
      </c>
      <c r="L41" s="65"/>
      <c r="M41" s="65"/>
      <c r="N41" s="65">
        <f t="shared" si="2"/>
        <v>0</v>
      </c>
      <c r="O41" s="66"/>
      <c r="P41" s="66"/>
      <c r="Q41" s="66">
        <f t="shared" si="3"/>
        <v>0</v>
      </c>
      <c r="R41" s="65"/>
      <c r="S41" s="65"/>
      <c r="T41" s="65">
        <f t="shared" si="4"/>
        <v>0</v>
      </c>
      <c r="U41" s="66"/>
      <c r="V41" s="66"/>
      <c r="W41" s="66">
        <f t="shared" si="5"/>
        <v>0</v>
      </c>
      <c r="X41" s="65"/>
      <c r="Y41" s="65"/>
      <c r="Z41" s="65">
        <f t="shared" si="6"/>
        <v>0</v>
      </c>
      <c r="AA41" s="66"/>
      <c r="AB41" s="66"/>
      <c r="AC41" s="66">
        <f t="shared" si="7"/>
        <v>0</v>
      </c>
      <c r="AD41" s="65"/>
      <c r="AE41" s="65"/>
      <c r="AF41" s="65">
        <f t="shared" si="8"/>
        <v>0</v>
      </c>
      <c r="AG41" s="66"/>
      <c r="AH41" s="66"/>
      <c r="AI41" s="66">
        <f t="shared" si="9"/>
        <v>0</v>
      </c>
      <c r="AJ41" s="65"/>
      <c r="AK41" s="65"/>
      <c r="AL41" s="65">
        <f t="shared" si="10"/>
        <v>0</v>
      </c>
      <c r="AM41" s="66"/>
      <c r="AN41" s="66"/>
      <c r="AO41" s="66">
        <f t="shared" ref="AO41" si="23">AM41+AN41</f>
        <v>0</v>
      </c>
    </row>
    <row r="42" spans="1:41" s="58" customFormat="1" ht="18" thickBot="1" x14ac:dyDescent="0.35">
      <c r="A42" s="4" t="s">
        <v>12</v>
      </c>
      <c r="B42" s="16"/>
      <c r="C42" s="23">
        <f>C33+C40</f>
        <v>581806</v>
      </c>
      <c r="D42" s="23">
        <f>D33+D40</f>
        <v>280000</v>
      </c>
      <c r="E42" s="3"/>
      <c r="F42" s="23">
        <f t="shared" ref="F42:AO42" si="24">F33+F40</f>
        <v>464812</v>
      </c>
      <c r="G42" s="23">
        <f t="shared" si="24"/>
        <v>-91356</v>
      </c>
      <c r="H42" s="23">
        <f t="shared" si="24"/>
        <v>373456</v>
      </c>
      <c r="I42" s="23">
        <f t="shared" si="24"/>
        <v>76814</v>
      </c>
      <c r="J42" s="23">
        <f t="shared" si="24"/>
        <v>-46046</v>
      </c>
      <c r="K42" s="23">
        <f t="shared" si="24"/>
        <v>30768</v>
      </c>
      <c r="L42" s="23">
        <f t="shared" si="24"/>
        <v>0</v>
      </c>
      <c r="M42" s="23">
        <f t="shared" si="24"/>
        <v>0</v>
      </c>
      <c r="N42" s="23">
        <f t="shared" si="24"/>
        <v>0</v>
      </c>
      <c r="O42" s="23">
        <f t="shared" si="24"/>
        <v>-101731</v>
      </c>
      <c r="P42" s="23">
        <f t="shared" si="24"/>
        <v>-154152</v>
      </c>
      <c r="Q42" s="23">
        <f t="shared" si="24"/>
        <v>-255883</v>
      </c>
      <c r="R42" s="23">
        <f t="shared" si="24"/>
        <v>438683</v>
      </c>
      <c r="S42" s="23">
        <f t="shared" si="24"/>
        <v>0</v>
      </c>
      <c r="T42" s="23">
        <f t="shared" si="24"/>
        <v>438683</v>
      </c>
      <c r="U42" s="23">
        <f t="shared" si="24"/>
        <v>963</v>
      </c>
      <c r="V42" s="23">
        <f t="shared" si="24"/>
        <v>-9568</v>
      </c>
      <c r="W42" s="23">
        <f t="shared" si="24"/>
        <v>-8605</v>
      </c>
      <c r="X42" s="23">
        <f t="shared" si="24"/>
        <v>3052</v>
      </c>
      <c r="Y42" s="23">
        <f t="shared" si="24"/>
        <v>0</v>
      </c>
      <c r="Z42" s="23">
        <f t="shared" si="24"/>
        <v>3052</v>
      </c>
      <c r="AA42" s="23">
        <f t="shared" si="24"/>
        <v>13506</v>
      </c>
      <c r="AB42" s="23">
        <f t="shared" si="24"/>
        <v>-15878</v>
      </c>
      <c r="AC42" s="23">
        <f t="shared" si="24"/>
        <v>-2372</v>
      </c>
      <c r="AD42" s="23">
        <f t="shared" si="24"/>
        <v>2707</v>
      </c>
      <c r="AE42" s="23">
        <f t="shared" si="24"/>
        <v>0</v>
      </c>
      <c r="AF42" s="23">
        <f t="shared" si="24"/>
        <v>2707</v>
      </c>
      <c r="AG42" s="23">
        <f t="shared" si="24"/>
        <v>0</v>
      </c>
      <c r="AH42" s="23">
        <f t="shared" si="24"/>
        <v>0</v>
      </c>
      <c r="AI42" s="23">
        <f t="shared" si="24"/>
        <v>0</v>
      </c>
      <c r="AJ42" s="23">
        <f t="shared" si="24"/>
        <v>0</v>
      </c>
      <c r="AK42" s="23">
        <f t="shared" si="24"/>
        <v>0</v>
      </c>
      <c r="AL42" s="23">
        <f t="shared" si="24"/>
        <v>0</v>
      </c>
      <c r="AM42" s="23">
        <f t="shared" si="24"/>
        <v>0</v>
      </c>
      <c r="AN42" s="23">
        <f t="shared" si="24"/>
        <v>0</v>
      </c>
      <c r="AO42" s="23">
        <f t="shared" si="24"/>
        <v>0</v>
      </c>
    </row>
    <row r="43" spans="1:41" s="58" customFormat="1" ht="18" thickTop="1" x14ac:dyDescent="0.3">
      <c r="A43" s="15"/>
      <c r="B43" s="16"/>
      <c r="C43" s="24"/>
      <c r="D43" s="24"/>
      <c r="E43" s="3"/>
      <c r="F43" s="65"/>
      <c r="G43" s="65"/>
      <c r="H43" s="65"/>
      <c r="I43" s="66"/>
      <c r="J43" s="66"/>
      <c r="K43" s="66"/>
      <c r="L43" s="65"/>
      <c r="M43" s="65"/>
      <c r="N43" s="65"/>
      <c r="O43" s="66"/>
      <c r="P43" s="66"/>
      <c r="Q43" s="66"/>
      <c r="R43" s="65"/>
      <c r="S43" s="65"/>
      <c r="T43" s="65"/>
      <c r="U43" s="66"/>
      <c r="V43" s="66"/>
      <c r="W43" s="66"/>
      <c r="X43" s="65"/>
      <c r="Y43" s="65"/>
      <c r="Z43" s="65"/>
      <c r="AA43" s="66"/>
      <c r="AB43" s="66"/>
      <c r="AC43" s="66"/>
      <c r="AD43" s="65"/>
      <c r="AE43" s="65"/>
      <c r="AF43" s="65"/>
      <c r="AG43" s="66"/>
      <c r="AH43" s="66"/>
      <c r="AI43" s="66"/>
      <c r="AJ43" s="65"/>
      <c r="AK43" s="65"/>
      <c r="AL43" s="65"/>
      <c r="AM43" s="66"/>
      <c r="AN43" s="66"/>
      <c r="AO43" s="66"/>
    </row>
    <row r="44" spans="1:41" s="58" customFormat="1" ht="21.95" customHeight="1" x14ac:dyDescent="0.3">
      <c r="A44" s="15"/>
      <c r="B44" s="16"/>
      <c r="C44" s="24"/>
      <c r="D44" s="24"/>
      <c r="E44" s="3"/>
      <c r="F44" s="65"/>
      <c r="G44" s="65"/>
      <c r="H44" s="65"/>
      <c r="I44" s="66"/>
      <c r="J44" s="66"/>
      <c r="K44" s="66"/>
      <c r="L44" s="65"/>
      <c r="M44" s="65"/>
      <c r="N44" s="65"/>
      <c r="O44" s="66"/>
      <c r="P44" s="66"/>
      <c r="Q44" s="66"/>
      <c r="R44" s="65"/>
      <c r="S44" s="65"/>
      <c r="T44" s="65"/>
      <c r="U44" s="66"/>
      <c r="V44" s="66"/>
      <c r="W44" s="66"/>
      <c r="X44" s="65"/>
      <c r="Y44" s="65"/>
      <c r="Z44" s="65"/>
      <c r="AA44" s="66"/>
      <c r="AB44" s="66"/>
      <c r="AC44" s="66"/>
      <c r="AD44" s="65"/>
      <c r="AE44" s="65"/>
      <c r="AF44" s="65"/>
      <c r="AG44" s="66"/>
      <c r="AH44" s="66"/>
      <c r="AI44" s="66"/>
      <c r="AJ44" s="65"/>
      <c r="AK44" s="65"/>
      <c r="AL44" s="65"/>
      <c r="AM44" s="66"/>
      <c r="AN44" s="66"/>
      <c r="AO44" s="66"/>
    </row>
    <row r="45" spans="1:41" s="58" customFormat="1" ht="17.25" x14ac:dyDescent="0.3">
      <c r="A45" s="4" t="s">
        <v>13</v>
      </c>
      <c r="B45" s="25"/>
      <c r="C45" s="26"/>
      <c r="D45" s="26"/>
      <c r="E45" s="3"/>
      <c r="F45" s="65"/>
      <c r="G45" s="65"/>
      <c r="H45" s="65"/>
      <c r="I45" s="66"/>
      <c r="J45" s="66"/>
      <c r="K45" s="66"/>
      <c r="L45" s="65"/>
      <c r="M45" s="65"/>
      <c r="N45" s="65"/>
      <c r="O45" s="66"/>
      <c r="P45" s="66"/>
      <c r="Q45" s="66"/>
      <c r="R45" s="65"/>
      <c r="S45" s="65"/>
      <c r="T45" s="65"/>
      <c r="U45" s="66"/>
      <c r="V45" s="66"/>
      <c r="W45" s="66"/>
      <c r="X45" s="65"/>
      <c r="Y45" s="65"/>
      <c r="Z45" s="65"/>
      <c r="AA45" s="66"/>
      <c r="AB45" s="66"/>
      <c r="AC45" s="66"/>
      <c r="AD45" s="65"/>
      <c r="AE45" s="65"/>
      <c r="AF45" s="65"/>
      <c r="AG45" s="66"/>
      <c r="AH45" s="66"/>
      <c r="AI45" s="66"/>
      <c r="AJ45" s="65"/>
      <c r="AK45" s="65"/>
      <c r="AL45" s="65"/>
      <c r="AM45" s="66"/>
      <c r="AN45" s="66"/>
      <c r="AO45" s="66"/>
    </row>
    <row r="46" spans="1:41" s="58" customFormat="1" ht="17.25" x14ac:dyDescent="0.3">
      <c r="A46" s="15" t="s">
        <v>14</v>
      </c>
      <c r="B46" s="16"/>
      <c r="C46" s="14">
        <f>H46+K46+N46+Q46+T46+W46+Z46+AC46+AF46+AI46+AL46+AO46</f>
        <v>581806</v>
      </c>
      <c r="D46" s="27">
        <f>D42</f>
        <v>280000</v>
      </c>
      <c r="E46" s="3"/>
      <c r="F46" s="27">
        <f>F42</f>
        <v>464812</v>
      </c>
      <c r="G46" s="27">
        <f t="shared" ref="G46:AO46" si="25">G42</f>
        <v>-91356</v>
      </c>
      <c r="H46" s="27">
        <f t="shared" si="25"/>
        <v>373456</v>
      </c>
      <c r="I46" s="27">
        <f t="shared" si="25"/>
        <v>76814</v>
      </c>
      <c r="J46" s="27">
        <f t="shared" si="25"/>
        <v>-46046</v>
      </c>
      <c r="K46" s="27">
        <f t="shared" si="25"/>
        <v>30768</v>
      </c>
      <c r="L46" s="27">
        <f t="shared" si="25"/>
        <v>0</v>
      </c>
      <c r="M46" s="27">
        <f t="shared" si="25"/>
        <v>0</v>
      </c>
      <c r="N46" s="27">
        <f>L46+M46</f>
        <v>0</v>
      </c>
      <c r="O46" s="27">
        <f t="shared" si="25"/>
        <v>-101731</v>
      </c>
      <c r="P46" s="27">
        <f t="shared" si="25"/>
        <v>-154152</v>
      </c>
      <c r="Q46" s="27">
        <f t="shared" si="25"/>
        <v>-255883</v>
      </c>
      <c r="R46" s="27">
        <f t="shared" si="25"/>
        <v>438683</v>
      </c>
      <c r="S46" s="121">
        <f>S42</f>
        <v>0</v>
      </c>
      <c r="T46" s="27">
        <f>R46+S46</f>
        <v>438683</v>
      </c>
      <c r="U46" s="27">
        <f t="shared" si="25"/>
        <v>963</v>
      </c>
      <c r="V46" s="27">
        <f t="shared" si="25"/>
        <v>-9568</v>
      </c>
      <c r="W46" s="27">
        <f t="shared" si="25"/>
        <v>-8605</v>
      </c>
      <c r="X46" s="27">
        <f t="shared" si="25"/>
        <v>3052</v>
      </c>
      <c r="Y46" s="27">
        <f t="shared" si="25"/>
        <v>0</v>
      </c>
      <c r="Z46" s="27">
        <f t="shared" si="25"/>
        <v>3052</v>
      </c>
      <c r="AA46" s="27">
        <f t="shared" si="25"/>
        <v>13506</v>
      </c>
      <c r="AB46" s="27">
        <f t="shared" si="25"/>
        <v>-15878</v>
      </c>
      <c r="AC46" s="27">
        <f t="shared" si="25"/>
        <v>-2372</v>
      </c>
      <c r="AD46" s="27">
        <f t="shared" si="25"/>
        <v>2707</v>
      </c>
      <c r="AE46" s="27">
        <f t="shared" si="25"/>
        <v>0</v>
      </c>
      <c r="AF46" s="27">
        <f t="shared" si="25"/>
        <v>2707</v>
      </c>
      <c r="AG46" s="27">
        <f t="shared" si="25"/>
        <v>0</v>
      </c>
      <c r="AH46" s="27">
        <f t="shared" si="25"/>
        <v>0</v>
      </c>
      <c r="AI46" s="27">
        <f t="shared" si="25"/>
        <v>0</v>
      </c>
      <c r="AJ46" s="27">
        <f t="shared" si="25"/>
        <v>0</v>
      </c>
      <c r="AK46" s="27">
        <f t="shared" si="25"/>
        <v>0</v>
      </c>
      <c r="AL46" s="27">
        <f t="shared" si="25"/>
        <v>0</v>
      </c>
      <c r="AM46" s="27">
        <f t="shared" si="25"/>
        <v>0</v>
      </c>
      <c r="AN46" s="27">
        <f t="shared" si="25"/>
        <v>0</v>
      </c>
      <c r="AO46" s="27">
        <f t="shared" si="25"/>
        <v>0</v>
      </c>
    </row>
    <row r="47" spans="1:41" s="58" customFormat="1" ht="18.95" customHeight="1" thickBot="1" x14ac:dyDescent="0.35">
      <c r="A47" s="4" t="s">
        <v>15</v>
      </c>
      <c r="B47" s="16"/>
      <c r="C47" s="23">
        <f>SUM(C46:C46)</f>
        <v>581806</v>
      </c>
      <c r="D47" s="23">
        <f>D42</f>
        <v>280000</v>
      </c>
      <c r="E47" s="3"/>
      <c r="F47" s="23">
        <f t="shared" ref="F47:AO47" si="26">SUM(F46:F46)</f>
        <v>464812</v>
      </c>
      <c r="G47" s="23">
        <f t="shared" si="26"/>
        <v>-91356</v>
      </c>
      <c r="H47" s="23">
        <f t="shared" si="26"/>
        <v>373456</v>
      </c>
      <c r="I47" s="23">
        <f t="shared" si="26"/>
        <v>76814</v>
      </c>
      <c r="J47" s="23">
        <f t="shared" si="26"/>
        <v>-46046</v>
      </c>
      <c r="K47" s="23">
        <f t="shared" si="26"/>
        <v>30768</v>
      </c>
      <c r="L47" s="23">
        <f t="shared" si="26"/>
        <v>0</v>
      </c>
      <c r="M47" s="23">
        <f t="shared" si="26"/>
        <v>0</v>
      </c>
      <c r="N47" s="23">
        <f t="shared" si="26"/>
        <v>0</v>
      </c>
      <c r="O47" s="23">
        <f t="shared" si="26"/>
        <v>-101731</v>
      </c>
      <c r="P47" s="23">
        <f t="shared" si="26"/>
        <v>-154152</v>
      </c>
      <c r="Q47" s="23">
        <f t="shared" si="26"/>
        <v>-255883</v>
      </c>
      <c r="R47" s="23">
        <f t="shared" si="26"/>
        <v>438683</v>
      </c>
      <c r="S47" s="23">
        <f t="shared" si="26"/>
        <v>0</v>
      </c>
      <c r="T47" s="23">
        <f t="shared" si="26"/>
        <v>438683</v>
      </c>
      <c r="U47" s="23">
        <f t="shared" si="26"/>
        <v>963</v>
      </c>
      <c r="V47" s="23">
        <f t="shared" si="26"/>
        <v>-9568</v>
      </c>
      <c r="W47" s="23">
        <f t="shared" si="26"/>
        <v>-8605</v>
      </c>
      <c r="X47" s="23">
        <f t="shared" si="26"/>
        <v>3052</v>
      </c>
      <c r="Y47" s="23">
        <f t="shared" si="26"/>
        <v>0</v>
      </c>
      <c r="Z47" s="23">
        <f t="shared" si="26"/>
        <v>3052</v>
      </c>
      <c r="AA47" s="23">
        <f t="shared" si="26"/>
        <v>13506</v>
      </c>
      <c r="AB47" s="23">
        <f t="shared" si="26"/>
        <v>-15878</v>
      </c>
      <c r="AC47" s="23">
        <f t="shared" si="26"/>
        <v>-2372</v>
      </c>
      <c r="AD47" s="23">
        <f t="shared" si="26"/>
        <v>2707</v>
      </c>
      <c r="AE47" s="23">
        <f t="shared" si="26"/>
        <v>0</v>
      </c>
      <c r="AF47" s="23">
        <f t="shared" si="26"/>
        <v>2707</v>
      </c>
      <c r="AG47" s="23">
        <f t="shared" si="26"/>
        <v>0</v>
      </c>
      <c r="AH47" s="23">
        <f t="shared" si="26"/>
        <v>0</v>
      </c>
      <c r="AI47" s="23">
        <f t="shared" si="26"/>
        <v>0</v>
      </c>
      <c r="AJ47" s="23">
        <f t="shared" si="26"/>
        <v>0</v>
      </c>
      <c r="AK47" s="23">
        <f t="shared" si="26"/>
        <v>0</v>
      </c>
      <c r="AL47" s="23">
        <f t="shared" si="26"/>
        <v>0</v>
      </c>
      <c r="AM47" s="23">
        <f t="shared" si="26"/>
        <v>0</v>
      </c>
      <c r="AN47" s="23">
        <f t="shared" si="26"/>
        <v>0</v>
      </c>
      <c r="AO47" s="23">
        <f t="shared" si="26"/>
        <v>0</v>
      </c>
    </row>
    <row r="48" spans="1:41" s="58" customFormat="1" ht="18.95" customHeight="1" thickTop="1" x14ac:dyDescent="0.3">
      <c r="A48" s="4"/>
      <c r="B48" s="16"/>
      <c r="C48" s="28"/>
      <c r="D48" s="29"/>
      <c r="E48" s="3"/>
      <c r="F48" s="65"/>
      <c r="G48" s="65"/>
      <c r="H48" s="65"/>
      <c r="I48" s="66"/>
      <c r="J48" s="66"/>
      <c r="K48" s="66"/>
      <c r="L48" s="65"/>
      <c r="M48" s="65"/>
      <c r="N48" s="65"/>
      <c r="O48" s="66"/>
      <c r="P48" s="66"/>
      <c r="Q48" s="66"/>
      <c r="R48" s="65"/>
      <c r="S48" s="65"/>
      <c r="T48" s="65"/>
      <c r="U48" s="66"/>
      <c r="V48" s="66"/>
      <c r="W48" s="66"/>
      <c r="X48" s="65"/>
      <c r="Y48" s="65"/>
      <c r="Z48" s="65"/>
      <c r="AA48" s="66"/>
      <c r="AB48" s="66"/>
      <c r="AC48" s="66"/>
      <c r="AD48" s="65"/>
      <c r="AE48" s="65"/>
      <c r="AF48" s="65"/>
      <c r="AG48" s="66"/>
      <c r="AH48" s="66"/>
      <c r="AI48" s="66"/>
      <c r="AJ48" s="65"/>
      <c r="AK48" s="65"/>
      <c r="AL48" s="65"/>
      <c r="AM48" s="66"/>
      <c r="AN48" s="66"/>
      <c r="AO48" s="66"/>
    </row>
    <row r="49" spans="1:41" s="58" customFormat="1" ht="18.95" customHeight="1" x14ac:dyDescent="0.3">
      <c r="A49" s="4"/>
      <c r="B49" s="16"/>
      <c r="C49" s="28"/>
      <c r="D49" s="29"/>
      <c r="E49" s="3"/>
      <c r="F49" s="65"/>
      <c r="G49" s="65"/>
      <c r="H49" s="65"/>
      <c r="I49" s="66"/>
      <c r="J49" s="66"/>
      <c r="K49" s="66"/>
      <c r="L49" s="65"/>
      <c r="M49" s="65"/>
      <c r="N49" s="65"/>
      <c r="O49" s="66"/>
      <c r="P49" s="66"/>
      <c r="Q49" s="66"/>
      <c r="R49" s="65"/>
      <c r="S49" s="65"/>
      <c r="T49" s="65"/>
      <c r="U49" s="66"/>
      <c r="V49" s="66"/>
      <c r="W49" s="66"/>
      <c r="X49" s="65"/>
      <c r="Y49" s="65"/>
      <c r="Z49" s="65"/>
      <c r="AA49" s="66"/>
      <c r="AB49" s="66"/>
      <c r="AC49" s="66"/>
      <c r="AD49" s="65"/>
      <c r="AE49" s="65"/>
      <c r="AF49" s="65"/>
      <c r="AG49" s="66"/>
      <c r="AH49" s="66"/>
      <c r="AI49" s="66"/>
      <c r="AJ49" s="65"/>
      <c r="AK49" s="65"/>
      <c r="AL49" s="65"/>
      <c r="AM49" s="66"/>
      <c r="AN49" s="66"/>
      <c r="AO49" s="66"/>
    </row>
    <row r="50" spans="1:41" s="58" customFormat="1" ht="30" customHeight="1" x14ac:dyDescent="0.4">
      <c r="A50" s="1" t="str">
        <f>A1</f>
        <v>Otta Idrettslag - med undergrupper</v>
      </c>
      <c r="B50" s="16"/>
      <c r="C50" s="28"/>
      <c r="D50" s="29"/>
      <c r="E50" s="3"/>
      <c r="F50" s="65"/>
      <c r="G50" s="65"/>
      <c r="H50" s="65"/>
      <c r="I50" s="66"/>
      <c r="J50" s="66"/>
      <c r="K50" s="66"/>
      <c r="L50" s="65"/>
      <c r="M50" s="65"/>
      <c r="N50" s="65"/>
      <c r="O50" s="66"/>
      <c r="P50" s="66"/>
      <c r="Q50" s="66"/>
      <c r="R50" s="65"/>
      <c r="S50" s="65"/>
      <c r="T50" s="65"/>
      <c r="U50" s="66"/>
      <c r="V50" s="66"/>
      <c r="W50" s="66"/>
      <c r="X50" s="65"/>
      <c r="Y50" s="65"/>
      <c r="Z50" s="65"/>
      <c r="AA50" s="66"/>
      <c r="AB50" s="66"/>
      <c r="AC50" s="66"/>
      <c r="AD50" s="65"/>
      <c r="AE50" s="65"/>
      <c r="AF50" s="65"/>
      <c r="AG50" s="66"/>
      <c r="AH50" s="66"/>
      <c r="AI50" s="66"/>
      <c r="AJ50" s="65"/>
      <c r="AK50" s="65"/>
      <c r="AL50" s="65"/>
      <c r="AM50" s="66"/>
      <c r="AN50" s="66"/>
      <c r="AO50" s="66"/>
    </row>
    <row r="51" spans="1:41" s="58" customFormat="1" x14ac:dyDescent="0.2">
      <c r="A51" s="15"/>
      <c r="B51" s="153"/>
      <c r="C51" s="14"/>
      <c r="D51" s="14"/>
      <c r="E51" s="3"/>
      <c r="F51" s="65"/>
      <c r="G51" s="65"/>
      <c r="H51" s="65"/>
      <c r="I51" s="66"/>
      <c r="J51" s="66"/>
      <c r="K51" s="66"/>
      <c r="L51" s="65"/>
      <c r="M51" s="65"/>
      <c r="N51" s="65"/>
      <c r="O51" s="66"/>
      <c r="P51" s="66"/>
      <c r="Q51" s="66"/>
      <c r="R51" s="65"/>
      <c r="S51" s="65"/>
      <c r="T51" s="65"/>
      <c r="U51" s="66"/>
      <c r="V51" s="66"/>
      <c r="W51" s="66"/>
      <c r="X51" s="65"/>
      <c r="Y51" s="65"/>
      <c r="Z51" s="65"/>
      <c r="AA51" s="66"/>
      <c r="AB51" s="66"/>
      <c r="AC51" s="66"/>
      <c r="AD51" s="65"/>
      <c r="AE51" s="65"/>
      <c r="AF51" s="65"/>
      <c r="AG51" s="66"/>
      <c r="AH51" s="66"/>
      <c r="AI51" s="66"/>
      <c r="AJ51" s="65"/>
      <c r="AK51" s="65"/>
      <c r="AL51" s="65"/>
      <c r="AM51" s="66"/>
      <c r="AN51" s="66"/>
      <c r="AO51" s="66"/>
    </row>
    <row r="52" spans="1:41" s="58" customFormat="1" x14ac:dyDescent="0.2">
      <c r="A52" s="4" t="s">
        <v>16</v>
      </c>
      <c r="B52" s="153"/>
      <c r="C52" s="30"/>
      <c r="D52" s="30"/>
      <c r="E52" s="3"/>
      <c r="F52" s="65"/>
      <c r="G52" s="65"/>
      <c r="H52" s="65"/>
      <c r="I52" s="66"/>
      <c r="J52" s="66"/>
      <c r="K52" s="66"/>
      <c r="L52" s="65"/>
      <c r="M52" s="65"/>
      <c r="N52" s="65"/>
      <c r="O52" s="66"/>
      <c r="P52" s="66"/>
      <c r="Q52" s="66"/>
      <c r="R52" s="65"/>
      <c r="S52" s="65"/>
      <c r="T52" s="65"/>
      <c r="U52" s="66"/>
      <c r="V52" s="66"/>
      <c r="W52" s="66"/>
      <c r="X52" s="65"/>
      <c r="Y52" s="65"/>
      <c r="Z52" s="65"/>
      <c r="AA52" s="66"/>
      <c r="AB52" s="66"/>
      <c r="AC52" s="66"/>
      <c r="AD52" s="65"/>
      <c r="AE52" s="65"/>
      <c r="AF52" s="65"/>
      <c r="AG52" s="66"/>
      <c r="AH52" s="66"/>
      <c r="AI52" s="66"/>
      <c r="AJ52" s="65"/>
      <c r="AK52" s="65"/>
      <c r="AL52" s="65"/>
      <c r="AM52" s="66"/>
      <c r="AN52" s="66"/>
      <c r="AO52" s="66"/>
    </row>
    <row r="53" spans="1:41" s="58" customFormat="1" x14ac:dyDescent="0.2">
      <c r="A53" s="31"/>
      <c r="B53" s="32"/>
      <c r="C53" s="33">
        <f>C4</f>
        <v>2020</v>
      </c>
      <c r="D53" s="34"/>
      <c r="E53" s="3"/>
      <c r="F53" s="65"/>
      <c r="G53" s="65"/>
      <c r="H53" s="65"/>
      <c r="I53" s="66"/>
      <c r="J53" s="66"/>
      <c r="K53" s="66"/>
      <c r="L53" s="65"/>
      <c r="M53" s="65"/>
      <c r="N53" s="65"/>
      <c r="O53" s="66"/>
      <c r="P53" s="66"/>
      <c r="Q53" s="66"/>
      <c r="R53" s="65"/>
      <c r="S53" s="65"/>
      <c r="T53" s="65"/>
      <c r="U53" s="66"/>
      <c r="V53" s="66"/>
      <c r="W53" s="66"/>
      <c r="X53" s="65"/>
      <c r="Y53" s="65"/>
      <c r="Z53" s="65"/>
      <c r="AA53" s="66"/>
      <c r="AB53" s="66"/>
      <c r="AC53" s="66"/>
      <c r="AD53" s="65"/>
      <c r="AE53" s="65"/>
      <c r="AF53" s="65"/>
      <c r="AG53" s="66"/>
      <c r="AH53" s="66"/>
      <c r="AI53" s="66"/>
      <c r="AJ53" s="65"/>
      <c r="AK53" s="65"/>
      <c r="AL53" s="65"/>
      <c r="AM53" s="66"/>
      <c r="AN53" s="66"/>
      <c r="AO53" s="66"/>
    </row>
    <row r="54" spans="1:41" s="58" customFormat="1" ht="15.75" x14ac:dyDescent="0.25">
      <c r="A54" s="35" t="s">
        <v>17</v>
      </c>
      <c r="B54" s="36" t="s">
        <v>4</v>
      </c>
      <c r="C54" s="37"/>
      <c r="D54" s="38"/>
      <c r="E54" s="3"/>
      <c r="F54" s="65"/>
      <c r="G54" s="65"/>
      <c r="H54" s="65"/>
      <c r="I54" s="66"/>
      <c r="J54" s="66"/>
      <c r="K54" s="66"/>
      <c r="L54" s="65"/>
      <c r="M54" s="65"/>
      <c r="N54" s="65"/>
      <c r="O54" s="66"/>
      <c r="P54" s="66"/>
      <c r="Q54" s="66"/>
      <c r="R54" s="65"/>
      <c r="S54" s="65"/>
      <c r="T54" s="65"/>
      <c r="U54" s="66"/>
      <c r="V54" s="66"/>
      <c r="W54" s="66"/>
      <c r="X54" s="65"/>
      <c r="Y54" s="65"/>
      <c r="Z54" s="65"/>
      <c r="AA54" s="66"/>
      <c r="AB54" s="66"/>
      <c r="AC54" s="66"/>
      <c r="AD54" s="65"/>
      <c r="AE54" s="65"/>
      <c r="AF54" s="65"/>
      <c r="AG54" s="66"/>
      <c r="AH54" s="66"/>
      <c r="AI54" s="66"/>
      <c r="AJ54" s="65"/>
      <c r="AK54" s="65"/>
      <c r="AL54" s="65"/>
      <c r="AM54" s="66"/>
      <c r="AN54" s="66"/>
      <c r="AO54" s="66"/>
    </row>
    <row r="55" spans="1:41" s="58" customFormat="1" ht="19.5" customHeight="1" x14ac:dyDescent="0.25">
      <c r="A55" s="39"/>
      <c r="B55" s="40"/>
      <c r="C55" s="41"/>
      <c r="D55" s="38"/>
      <c r="E55" s="3"/>
      <c r="F55" s="65"/>
      <c r="G55" s="65"/>
      <c r="H55" s="65"/>
      <c r="I55" s="66"/>
      <c r="J55" s="66"/>
      <c r="K55" s="66"/>
      <c r="L55" s="65"/>
      <c r="M55" s="65"/>
      <c r="N55" s="65"/>
      <c r="O55" s="66"/>
      <c r="P55" s="66"/>
      <c r="Q55" s="66"/>
      <c r="R55" s="65"/>
      <c r="S55" s="65"/>
      <c r="T55" s="65"/>
      <c r="U55" s="66"/>
      <c r="V55" s="66"/>
      <c r="W55" s="66"/>
      <c r="X55" s="65"/>
      <c r="Y55" s="65"/>
      <c r="Z55" s="65"/>
      <c r="AA55" s="66"/>
      <c r="AB55" s="66"/>
      <c r="AC55" s="66"/>
      <c r="AD55" s="65"/>
      <c r="AE55" s="65"/>
      <c r="AF55" s="65"/>
      <c r="AG55" s="66"/>
      <c r="AH55" s="66"/>
      <c r="AI55" s="66"/>
      <c r="AJ55" s="65"/>
      <c r="AK55" s="65"/>
      <c r="AL55" s="65"/>
      <c r="AM55" s="66"/>
      <c r="AN55" s="66"/>
      <c r="AO55" s="66"/>
    </row>
    <row r="56" spans="1:41" s="58" customFormat="1" ht="15.75" x14ac:dyDescent="0.25">
      <c r="A56" s="4" t="s">
        <v>18</v>
      </c>
      <c r="B56" s="16"/>
      <c r="C56" s="41"/>
      <c r="D56" s="42"/>
      <c r="E56" s="3"/>
      <c r="F56" s="65"/>
      <c r="G56" s="65"/>
      <c r="H56" s="65"/>
      <c r="I56" s="66"/>
      <c r="J56" s="66"/>
      <c r="K56" s="66"/>
      <c r="L56" s="65"/>
      <c r="M56" s="65"/>
      <c r="N56" s="65"/>
      <c r="O56" s="66"/>
      <c r="P56" s="66"/>
      <c r="Q56" s="66"/>
      <c r="R56" s="65"/>
      <c r="S56" s="65"/>
      <c r="T56" s="65"/>
      <c r="U56" s="66"/>
      <c r="V56" s="66"/>
      <c r="W56" s="66"/>
      <c r="X56" s="65"/>
      <c r="Y56" s="65"/>
      <c r="Z56" s="65"/>
      <c r="AA56" s="66"/>
      <c r="AB56" s="66"/>
      <c r="AC56" s="66"/>
      <c r="AD56" s="65"/>
      <c r="AE56" s="65"/>
      <c r="AF56" s="65"/>
      <c r="AG56" s="66"/>
      <c r="AH56" s="66"/>
      <c r="AI56" s="66"/>
      <c r="AJ56" s="65"/>
      <c r="AK56" s="65"/>
      <c r="AL56" s="65"/>
      <c r="AM56" s="66"/>
      <c r="AN56" s="66"/>
      <c r="AO56" s="66"/>
    </row>
    <row r="57" spans="1:41" s="58" customFormat="1" ht="14.1" customHeight="1" x14ac:dyDescent="0.3">
      <c r="A57" s="15"/>
      <c r="B57" s="16"/>
      <c r="C57" s="41"/>
      <c r="D57" s="28"/>
      <c r="E57" s="3"/>
      <c r="F57" s="65"/>
      <c r="G57" s="65"/>
      <c r="H57" s="65"/>
      <c r="I57" s="66"/>
      <c r="J57" s="66"/>
      <c r="K57" s="66"/>
      <c r="L57" s="65"/>
      <c r="M57" s="65"/>
      <c r="N57" s="65"/>
      <c r="O57" s="66"/>
      <c r="P57" s="66"/>
      <c r="Q57" s="66"/>
      <c r="R57" s="65"/>
      <c r="S57" s="65"/>
      <c r="T57" s="65"/>
      <c r="U57" s="66"/>
      <c r="V57" s="66"/>
      <c r="W57" s="66"/>
      <c r="X57" s="65"/>
      <c r="Y57" s="65"/>
      <c r="Z57" s="65"/>
      <c r="AA57" s="66"/>
      <c r="AB57" s="66"/>
      <c r="AC57" s="66"/>
      <c r="AD57" s="65"/>
      <c r="AE57" s="65"/>
      <c r="AF57" s="65"/>
      <c r="AG57" s="66"/>
      <c r="AH57" s="66"/>
      <c r="AI57" s="66"/>
      <c r="AJ57" s="65"/>
      <c r="AK57" s="65"/>
      <c r="AL57" s="65"/>
      <c r="AM57" s="66"/>
      <c r="AN57" s="66"/>
      <c r="AO57" s="66"/>
    </row>
    <row r="58" spans="1:41" s="58" customFormat="1" ht="15.75" x14ac:dyDescent="0.25">
      <c r="A58" s="70" t="s">
        <v>70</v>
      </c>
      <c r="B58" s="16"/>
      <c r="C58" s="41"/>
      <c r="D58" s="42"/>
      <c r="E58" s="3"/>
      <c r="F58" s="65"/>
      <c r="G58" s="65"/>
      <c r="H58" s="65"/>
      <c r="I58" s="66"/>
      <c r="J58" s="66"/>
      <c r="K58" s="66"/>
      <c r="L58" s="65"/>
      <c r="M58" s="65"/>
      <c r="N58" s="65"/>
      <c r="O58" s="66"/>
      <c r="P58" s="66"/>
      <c r="Q58" s="66"/>
      <c r="R58" s="65"/>
      <c r="S58" s="65"/>
      <c r="T58" s="65"/>
      <c r="U58" s="66"/>
      <c r="V58" s="66"/>
      <c r="W58" s="66"/>
      <c r="X58" s="65"/>
      <c r="Y58" s="65"/>
      <c r="Z58" s="65"/>
      <c r="AA58" s="66"/>
      <c r="AB58" s="66"/>
      <c r="AC58" s="66"/>
      <c r="AD58" s="65"/>
      <c r="AE58" s="65"/>
      <c r="AF58" s="65"/>
      <c r="AG58" s="66"/>
      <c r="AH58" s="66"/>
      <c r="AI58" s="66"/>
      <c r="AJ58" s="65"/>
      <c r="AK58" s="65"/>
      <c r="AL58" s="65"/>
      <c r="AM58" s="66"/>
      <c r="AN58" s="66"/>
      <c r="AO58" s="66"/>
    </row>
    <row r="59" spans="1:41" s="58" customFormat="1" ht="15.75" x14ac:dyDescent="0.25">
      <c r="A59" s="68" t="s">
        <v>66</v>
      </c>
      <c r="B59" s="16"/>
      <c r="C59" s="14">
        <f>H59+K59+N59+Q59+T59+W59+Z59+AC59+AF59+AI59+AL59+AO59</f>
        <v>1963700</v>
      </c>
      <c r="D59" s="42"/>
      <c r="E59" s="3"/>
      <c r="F59" s="134">
        <v>1963700</v>
      </c>
      <c r="G59" s="65"/>
      <c r="H59" s="65">
        <f t="shared" ref="H59:H95" si="27">F59+G59</f>
        <v>1963700</v>
      </c>
      <c r="I59" s="132">
        <v>0</v>
      </c>
      <c r="J59" s="66"/>
      <c r="K59" s="66">
        <f t="shared" ref="K59:K95" si="28">I59+J59</f>
        <v>0</v>
      </c>
      <c r="L59" s="132">
        <v>0</v>
      </c>
      <c r="M59" s="65"/>
      <c r="N59" s="65">
        <f t="shared" ref="N59:N95" si="29">L59+M59</f>
        <v>0</v>
      </c>
      <c r="O59" s="132">
        <v>0</v>
      </c>
      <c r="P59" s="66"/>
      <c r="Q59" s="66">
        <f t="shared" ref="Q59:Q95" si="30">O59+P59</f>
        <v>0</v>
      </c>
      <c r="R59" s="132">
        <v>0</v>
      </c>
      <c r="S59" s="65"/>
      <c r="T59" s="65">
        <f t="shared" ref="T59:T95" si="31">R59+S59</f>
        <v>0</v>
      </c>
      <c r="U59" s="66"/>
      <c r="V59" s="66"/>
      <c r="W59" s="66">
        <f t="shared" ref="W59:W95" si="32">U59+V59</f>
        <v>0</v>
      </c>
      <c r="X59" s="65"/>
      <c r="Y59" s="65"/>
      <c r="Z59" s="65">
        <f t="shared" ref="Z59:Z95" si="33">X59+Y59</f>
        <v>0</v>
      </c>
      <c r="AA59" s="66"/>
      <c r="AB59" s="66"/>
      <c r="AC59" s="66">
        <f t="shared" ref="AC59:AC95" si="34">AA59+AB59</f>
        <v>0</v>
      </c>
      <c r="AD59" s="65"/>
      <c r="AE59" s="65"/>
      <c r="AF59" s="65">
        <f t="shared" ref="AF59:AF95" si="35">AD59+AE59</f>
        <v>0</v>
      </c>
      <c r="AG59" s="66"/>
      <c r="AH59" s="66"/>
      <c r="AI59" s="66">
        <f t="shared" ref="AI59:AI95" si="36">AG59+AH59</f>
        <v>0</v>
      </c>
      <c r="AJ59" s="65"/>
      <c r="AK59" s="65"/>
      <c r="AL59" s="65">
        <f t="shared" ref="AL59:AL95" si="37">AJ59+AK59</f>
        <v>0</v>
      </c>
      <c r="AM59" s="66"/>
      <c r="AN59" s="66"/>
      <c r="AO59" s="66">
        <f t="shared" ref="AO59:AO60" si="38">AM59+AN59</f>
        <v>0</v>
      </c>
    </row>
    <row r="60" spans="1:41" s="58" customFormat="1" ht="17.25" x14ac:dyDescent="0.3">
      <c r="A60" s="68" t="s">
        <v>67</v>
      </c>
      <c r="B60" s="16"/>
      <c r="C60" s="14">
        <f>H60+K60+N60+Q60+T60+W60+Z60+AC60+AF60+AI60+AL60+AO60</f>
        <v>43700</v>
      </c>
      <c r="D60" s="24"/>
      <c r="E60" s="3"/>
      <c r="F60" s="134">
        <v>2000</v>
      </c>
      <c r="G60" s="65"/>
      <c r="H60" s="65">
        <f t="shared" si="27"/>
        <v>2000</v>
      </c>
      <c r="I60" s="132">
        <v>0</v>
      </c>
      <c r="J60" s="66"/>
      <c r="K60" s="66">
        <f t="shared" si="28"/>
        <v>0</v>
      </c>
      <c r="L60" s="132">
        <v>0</v>
      </c>
      <c r="M60" s="65"/>
      <c r="N60" s="65">
        <f t="shared" si="29"/>
        <v>0</v>
      </c>
      <c r="O60" s="132">
        <v>29000</v>
      </c>
      <c r="P60" s="66"/>
      <c r="Q60" s="66">
        <f t="shared" si="30"/>
        <v>29000</v>
      </c>
      <c r="R60" s="132">
        <v>12700</v>
      </c>
      <c r="S60" s="65"/>
      <c r="T60" s="65">
        <f t="shared" si="31"/>
        <v>12700</v>
      </c>
      <c r="U60" s="66"/>
      <c r="V60" s="66"/>
      <c r="W60" s="66">
        <f t="shared" si="32"/>
        <v>0</v>
      </c>
      <c r="X60" s="65"/>
      <c r="Y60" s="65"/>
      <c r="Z60" s="65">
        <f t="shared" si="33"/>
        <v>0</v>
      </c>
      <c r="AA60" s="66"/>
      <c r="AB60" s="66"/>
      <c r="AC60" s="66">
        <f t="shared" si="34"/>
        <v>0</v>
      </c>
      <c r="AD60" s="65"/>
      <c r="AE60" s="65"/>
      <c r="AF60" s="65">
        <f t="shared" si="35"/>
        <v>0</v>
      </c>
      <c r="AG60" s="66"/>
      <c r="AH60" s="66"/>
      <c r="AI60" s="66">
        <f t="shared" si="36"/>
        <v>0</v>
      </c>
      <c r="AJ60" s="65"/>
      <c r="AK60" s="65"/>
      <c r="AL60" s="65">
        <f t="shared" si="37"/>
        <v>0</v>
      </c>
      <c r="AM60" s="66"/>
      <c r="AN60" s="66"/>
      <c r="AO60" s="66">
        <f t="shared" si="38"/>
        <v>0</v>
      </c>
    </row>
    <row r="61" spans="1:41" s="58" customFormat="1" ht="17.25" x14ac:dyDescent="0.3">
      <c r="A61" s="4" t="s">
        <v>19</v>
      </c>
      <c r="B61" s="16"/>
      <c r="C61" s="17">
        <f>SUM(C59:C60)</f>
        <v>2007400</v>
      </c>
      <c r="D61" s="28"/>
      <c r="E61" s="3"/>
      <c r="F61" s="17">
        <f>SUM(F59:F60)</f>
        <v>1965700</v>
      </c>
      <c r="G61" s="17">
        <f t="shared" ref="G61:AO61" si="39">SUM(G59:G60)</f>
        <v>0</v>
      </c>
      <c r="H61" s="17">
        <f t="shared" si="39"/>
        <v>1965700</v>
      </c>
      <c r="I61" s="17">
        <f t="shared" si="39"/>
        <v>0</v>
      </c>
      <c r="J61" s="17">
        <f t="shared" si="39"/>
        <v>0</v>
      </c>
      <c r="K61" s="17">
        <f t="shared" si="39"/>
        <v>0</v>
      </c>
      <c r="L61" s="17">
        <f t="shared" si="39"/>
        <v>0</v>
      </c>
      <c r="M61" s="17">
        <f t="shared" si="39"/>
        <v>0</v>
      </c>
      <c r="N61" s="17">
        <f t="shared" si="39"/>
        <v>0</v>
      </c>
      <c r="O61" s="17">
        <f t="shared" si="39"/>
        <v>29000</v>
      </c>
      <c r="P61" s="17">
        <f t="shared" si="39"/>
        <v>0</v>
      </c>
      <c r="Q61" s="17">
        <f t="shared" si="39"/>
        <v>29000</v>
      </c>
      <c r="R61" s="17">
        <f t="shared" si="39"/>
        <v>12700</v>
      </c>
      <c r="S61" s="17">
        <f t="shared" si="39"/>
        <v>0</v>
      </c>
      <c r="T61" s="17">
        <f t="shared" si="39"/>
        <v>12700</v>
      </c>
      <c r="U61" s="17">
        <f t="shared" si="39"/>
        <v>0</v>
      </c>
      <c r="V61" s="17">
        <f t="shared" si="39"/>
        <v>0</v>
      </c>
      <c r="W61" s="17">
        <f t="shared" si="39"/>
        <v>0</v>
      </c>
      <c r="X61" s="17">
        <f t="shared" si="39"/>
        <v>0</v>
      </c>
      <c r="Y61" s="17">
        <f t="shared" si="39"/>
        <v>0</v>
      </c>
      <c r="Z61" s="17">
        <f t="shared" si="39"/>
        <v>0</v>
      </c>
      <c r="AA61" s="17">
        <f t="shared" si="39"/>
        <v>0</v>
      </c>
      <c r="AB61" s="17">
        <f t="shared" si="39"/>
        <v>0</v>
      </c>
      <c r="AC61" s="17">
        <f t="shared" si="39"/>
        <v>0</v>
      </c>
      <c r="AD61" s="17">
        <f t="shared" si="39"/>
        <v>0</v>
      </c>
      <c r="AE61" s="17">
        <f t="shared" si="39"/>
        <v>0</v>
      </c>
      <c r="AF61" s="17">
        <f t="shared" si="39"/>
        <v>0</v>
      </c>
      <c r="AG61" s="17">
        <f t="shared" si="39"/>
        <v>0</v>
      </c>
      <c r="AH61" s="17">
        <f t="shared" si="39"/>
        <v>0</v>
      </c>
      <c r="AI61" s="17">
        <f t="shared" si="39"/>
        <v>0</v>
      </c>
      <c r="AJ61" s="17">
        <f t="shared" si="39"/>
        <v>0</v>
      </c>
      <c r="AK61" s="17">
        <f t="shared" si="39"/>
        <v>0</v>
      </c>
      <c r="AL61" s="17">
        <f t="shared" si="39"/>
        <v>0</v>
      </c>
      <c r="AM61" s="17">
        <f t="shared" si="39"/>
        <v>0</v>
      </c>
      <c r="AN61" s="17">
        <f t="shared" si="39"/>
        <v>0</v>
      </c>
      <c r="AO61" s="17">
        <f t="shared" si="39"/>
        <v>0</v>
      </c>
    </row>
    <row r="62" spans="1:41" s="58" customFormat="1" ht="17.25" x14ac:dyDescent="0.3">
      <c r="A62" s="4"/>
      <c r="B62" s="16"/>
      <c r="C62" s="19"/>
      <c r="D62" s="28"/>
      <c r="E62" s="3"/>
      <c r="F62" s="65"/>
      <c r="G62" s="65"/>
      <c r="H62" s="65"/>
      <c r="I62" s="66"/>
      <c r="J62" s="66"/>
      <c r="K62" s="66"/>
      <c r="L62" s="65"/>
      <c r="M62" s="65"/>
      <c r="N62" s="65"/>
      <c r="O62" s="66"/>
      <c r="P62" s="66"/>
      <c r="Q62" s="66"/>
      <c r="R62" s="65"/>
      <c r="S62" s="65"/>
      <c r="T62" s="65"/>
      <c r="U62" s="66"/>
      <c r="V62" s="66"/>
      <c r="W62" s="66"/>
      <c r="X62" s="65"/>
      <c r="Y62" s="65"/>
      <c r="Z62" s="65"/>
      <c r="AA62" s="66"/>
      <c r="AB62" s="66"/>
      <c r="AC62" s="66"/>
      <c r="AD62" s="65"/>
      <c r="AE62" s="65"/>
      <c r="AF62" s="65"/>
      <c r="AG62" s="66"/>
      <c r="AH62" s="66"/>
      <c r="AI62" s="66"/>
      <c r="AJ62" s="65"/>
      <c r="AK62" s="65"/>
      <c r="AL62" s="65"/>
      <c r="AM62" s="66"/>
      <c r="AN62" s="66"/>
      <c r="AO62" s="66"/>
    </row>
    <row r="63" spans="1:41" s="58" customFormat="1" ht="17.25" x14ac:dyDescent="0.3">
      <c r="A63" s="70" t="s">
        <v>71</v>
      </c>
      <c r="B63" s="16"/>
      <c r="C63" s="19"/>
      <c r="D63" s="28"/>
      <c r="E63" s="3"/>
      <c r="F63" s="65"/>
      <c r="G63" s="65"/>
      <c r="H63" s="65"/>
      <c r="I63" s="66"/>
      <c r="J63" s="66"/>
      <c r="K63" s="66"/>
      <c r="L63" s="65"/>
      <c r="M63" s="65"/>
      <c r="N63" s="65"/>
      <c r="O63" s="66"/>
      <c r="P63" s="66"/>
      <c r="Q63" s="66"/>
      <c r="R63" s="65"/>
      <c r="S63" s="65"/>
      <c r="T63" s="65"/>
      <c r="U63" s="66"/>
      <c r="V63" s="66"/>
      <c r="W63" s="66"/>
      <c r="X63" s="65"/>
      <c r="Y63" s="65"/>
      <c r="Z63" s="65"/>
      <c r="AA63" s="66"/>
      <c r="AB63" s="66"/>
      <c r="AC63" s="66"/>
      <c r="AD63" s="65"/>
      <c r="AE63" s="65"/>
      <c r="AF63" s="65"/>
      <c r="AG63" s="66"/>
      <c r="AH63" s="66"/>
      <c r="AI63" s="66"/>
      <c r="AJ63" s="65"/>
      <c r="AK63" s="65"/>
      <c r="AL63" s="65"/>
      <c r="AM63" s="66"/>
      <c r="AN63" s="66"/>
      <c r="AO63" s="66"/>
    </row>
    <row r="64" spans="1:41" s="58" customFormat="1" ht="17.25" x14ac:dyDescent="0.3">
      <c r="A64" s="68" t="s">
        <v>72</v>
      </c>
      <c r="B64" s="16"/>
      <c r="C64" s="14">
        <f>H64+K64+N64+Q64+T64+W64+Z64+AC64+AF64+AI64+AL64+AO64</f>
        <v>0</v>
      </c>
      <c r="D64" s="28"/>
      <c r="E64" s="3"/>
      <c r="F64" s="65">
        <v>0</v>
      </c>
      <c r="G64" s="65"/>
      <c r="H64" s="65">
        <f t="shared" si="27"/>
        <v>0</v>
      </c>
      <c r="I64" s="66">
        <v>0</v>
      </c>
      <c r="J64" s="66"/>
      <c r="K64" s="66"/>
      <c r="L64" s="65">
        <v>0</v>
      </c>
      <c r="M64" s="65"/>
      <c r="N64" s="65"/>
      <c r="O64" s="66">
        <v>0</v>
      </c>
      <c r="P64" s="66"/>
      <c r="Q64" s="66"/>
      <c r="R64" s="65">
        <v>0</v>
      </c>
      <c r="S64" s="65"/>
      <c r="T64" s="65"/>
      <c r="U64" s="66"/>
      <c r="V64" s="66"/>
      <c r="W64" s="66"/>
      <c r="X64" s="65"/>
      <c r="Y64" s="65"/>
      <c r="Z64" s="65"/>
      <c r="AA64" s="66"/>
      <c r="AB64" s="66"/>
      <c r="AC64" s="66"/>
      <c r="AD64" s="65"/>
      <c r="AE64" s="65"/>
      <c r="AF64" s="65"/>
      <c r="AG64" s="66"/>
      <c r="AH64" s="66"/>
      <c r="AI64" s="66"/>
      <c r="AJ64" s="65"/>
      <c r="AK64" s="65"/>
      <c r="AL64" s="65"/>
      <c r="AM64" s="66"/>
      <c r="AN64" s="66"/>
      <c r="AO64" s="66"/>
    </row>
    <row r="65" spans="1:41" s="58" customFormat="1" ht="17.25" x14ac:dyDescent="0.3">
      <c r="A65" s="71" t="s">
        <v>73</v>
      </c>
      <c r="B65" s="16"/>
      <c r="C65" s="17">
        <f>SUM(C63:C64)</f>
        <v>0</v>
      </c>
      <c r="D65" s="28"/>
      <c r="E65" s="3"/>
      <c r="F65" s="17">
        <f>SUM(F63:F64)</f>
        <v>0</v>
      </c>
      <c r="G65" s="17">
        <f t="shared" ref="G65:AO65" si="40">SUM(G63:G64)</f>
        <v>0</v>
      </c>
      <c r="H65" s="17">
        <f t="shared" si="40"/>
        <v>0</v>
      </c>
      <c r="I65" s="17">
        <f t="shared" si="40"/>
        <v>0</v>
      </c>
      <c r="J65" s="17">
        <f t="shared" si="40"/>
        <v>0</v>
      </c>
      <c r="K65" s="17">
        <f t="shared" si="40"/>
        <v>0</v>
      </c>
      <c r="L65" s="17">
        <f t="shared" si="40"/>
        <v>0</v>
      </c>
      <c r="M65" s="17">
        <f t="shared" si="40"/>
        <v>0</v>
      </c>
      <c r="N65" s="17">
        <f t="shared" si="40"/>
        <v>0</v>
      </c>
      <c r="O65" s="17">
        <f t="shared" si="40"/>
        <v>0</v>
      </c>
      <c r="P65" s="17">
        <f t="shared" si="40"/>
        <v>0</v>
      </c>
      <c r="Q65" s="17">
        <f t="shared" si="40"/>
        <v>0</v>
      </c>
      <c r="R65" s="17">
        <f t="shared" si="40"/>
        <v>0</v>
      </c>
      <c r="S65" s="17">
        <f t="shared" si="40"/>
        <v>0</v>
      </c>
      <c r="T65" s="17">
        <f t="shared" si="40"/>
        <v>0</v>
      </c>
      <c r="U65" s="17">
        <f t="shared" si="40"/>
        <v>0</v>
      </c>
      <c r="V65" s="17">
        <f t="shared" si="40"/>
        <v>0</v>
      </c>
      <c r="W65" s="17">
        <f t="shared" si="40"/>
        <v>0</v>
      </c>
      <c r="X65" s="17">
        <f t="shared" si="40"/>
        <v>0</v>
      </c>
      <c r="Y65" s="17">
        <f t="shared" si="40"/>
        <v>0</v>
      </c>
      <c r="Z65" s="17">
        <f t="shared" si="40"/>
        <v>0</v>
      </c>
      <c r="AA65" s="17">
        <f t="shared" si="40"/>
        <v>0</v>
      </c>
      <c r="AB65" s="17">
        <f t="shared" si="40"/>
        <v>0</v>
      </c>
      <c r="AC65" s="17">
        <f t="shared" si="40"/>
        <v>0</v>
      </c>
      <c r="AD65" s="17">
        <f t="shared" si="40"/>
        <v>0</v>
      </c>
      <c r="AE65" s="17">
        <f t="shared" si="40"/>
        <v>0</v>
      </c>
      <c r="AF65" s="17">
        <f t="shared" si="40"/>
        <v>0</v>
      </c>
      <c r="AG65" s="17">
        <f t="shared" si="40"/>
        <v>0</v>
      </c>
      <c r="AH65" s="17">
        <f t="shared" si="40"/>
        <v>0</v>
      </c>
      <c r="AI65" s="17">
        <f t="shared" si="40"/>
        <v>0</v>
      </c>
      <c r="AJ65" s="17">
        <f t="shared" si="40"/>
        <v>0</v>
      </c>
      <c r="AK65" s="17">
        <f t="shared" si="40"/>
        <v>0</v>
      </c>
      <c r="AL65" s="17">
        <f t="shared" si="40"/>
        <v>0</v>
      </c>
      <c r="AM65" s="17">
        <f t="shared" si="40"/>
        <v>0</v>
      </c>
      <c r="AN65" s="17">
        <f t="shared" si="40"/>
        <v>0</v>
      </c>
      <c r="AO65" s="17">
        <f t="shared" si="40"/>
        <v>0</v>
      </c>
    </row>
    <row r="66" spans="1:41" s="58" customFormat="1" ht="18.95" customHeight="1" x14ac:dyDescent="0.3">
      <c r="A66" s="70" t="s">
        <v>68</v>
      </c>
      <c r="B66" s="16"/>
      <c r="C66" s="17">
        <f>C61+C65</f>
        <v>2007400</v>
      </c>
      <c r="D66" s="28"/>
      <c r="E66" s="3"/>
      <c r="F66" s="17">
        <f>F61+F65</f>
        <v>1965700</v>
      </c>
      <c r="G66" s="17">
        <f t="shared" ref="G66:AO66" si="41">G61+G65</f>
        <v>0</v>
      </c>
      <c r="H66" s="17">
        <f t="shared" si="41"/>
        <v>1965700</v>
      </c>
      <c r="I66" s="17">
        <f t="shared" si="41"/>
        <v>0</v>
      </c>
      <c r="J66" s="17">
        <f t="shared" si="41"/>
        <v>0</v>
      </c>
      <c r="K66" s="17">
        <f t="shared" si="41"/>
        <v>0</v>
      </c>
      <c r="L66" s="17">
        <f t="shared" si="41"/>
        <v>0</v>
      </c>
      <c r="M66" s="17">
        <f t="shared" si="41"/>
        <v>0</v>
      </c>
      <c r="N66" s="17">
        <f t="shared" si="41"/>
        <v>0</v>
      </c>
      <c r="O66" s="17">
        <f t="shared" si="41"/>
        <v>29000</v>
      </c>
      <c r="P66" s="17">
        <f t="shared" si="41"/>
        <v>0</v>
      </c>
      <c r="Q66" s="17">
        <f t="shared" si="41"/>
        <v>29000</v>
      </c>
      <c r="R66" s="17">
        <f t="shared" si="41"/>
        <v>12700</v>
      </c>
      <c r="S66" s="17">
        <f t="shared" si="41"/>
        <v>0</v>
      </c>
      <c r="T66" s="17">
        <f t="shared" si="41"/>
        <v>12700</v>
      </c>
      <c r="U66" s="17">
        <f t="shared" si="41"/>
        <v>0</v>
      </c>
      <c r="V66" s="17">
        <f t="shared" si="41"/>
        <v>0</v>
      </c>
      <c r="W66" s="17">
        <f t="shared" si="41"/>
        <v>0</v>
      </c>
      <c r="X66" s="17">
        <f t="shared" si="41"/>
        <v>0</v>
      </c>
      <c r="Y66" s="17">
        <f t="shared" si="41"/>
        <v>0</v>
      </c>
      <c r="Z66" s="17">
        <f t="shared" si="41"/>
        <v>0</v>
      </c>
      <c r="AA66" s="17">
        <f t="shared" si="41"/>
        <v>0</v>
      </c>
      <c r="AB66" s="17">
        <f t="shared" si="41"/>
        <v>0</v>
      </c>
      <c r="AC66" s="17">
        <f t="shared" si="41"/>
        <v>0</v>
      </c>
      <c r="AD66" s="17">
        <f t="shared" si="41"/>
        <v>0</v>
      </c>
      <c r="AE66" s="17">
        <f t="shared" si="41"/>
        <v>0</v>
      </c>
      <c r="AF66" s="17">
        <f t="shared" si="41"/>
        <v>0</v>
      </c>
      <c r="AG66" s="17">
        <f t="shared" si="41"/>
        <v>0</v>
      </c>
      <c r="AH66" s="17">
        <f t="shared" si="41"/>
        <v>0</v>
      </c>
      <c r="AI66" s="17">
        <f t="shared" si="41"/>
        <v>0</v>
      </c>
      <c r="AJ66" s="17">
        <f t="shared" si="41"/>
        <v>0</v>
      </c>
      <c r="AK66" s="17">
        <f t="shared" si="41"/>
        <v>0</v>
      </c>
      <c r="AL66" s="17">
        <f t="shared" si="41"/>
        <v>0</v>
      </c>
      <c r="AM66" s="17">
        <f t="shared" si="41"/>
        <v>0</v>
      </c>
      <c r="AN66" s="17">
        <f t="shared" si="41"/>
        <v>0</v>
      </c>
      <c r="AO66" s="17">
        <f t="shared" si="41"/>
        <v>0</v>
      </c>
    </row>
    <row r="67" spans="1:41" s="58" customFormat="1" ht="18.95" customHeight="1" x14ac:dyDescent="0.3">
      <c r="A67" s="15"/>
      <c r="B67" s="16"/>
      <c r="C67" s="28"/>
      <c r="D67" s="28"/>
      <c r="E67" s="3"/>
      <c r="F67" s="65"/>
      <c r="G67" s="65"/>
      <c r="H67" s="65"/>
      <c r="I67" s="66"/>
      <c r="J67" s="66"/>
      <c r="K67" s="66"/>
      <c r="L67" s="65"/>
      <c r="M67" s="65"/>
      <c r="N67" s="65"/>
      <c r="O67" s="66"/>
      <c r="P67" s="66"/>
      <c r="Q67" s="66"/>
      <c r="R67" s="65"/>
      <c r="S67" s="65"/>
      <c r="T67" s="65"/>
      <c r="U67" s="66"/>
      <c r="V67" s="66"/>
      <c r="W67" s="66"/>
      <c r="X67" s="65"/>
      <c r="Y67" s="65"/>
      <c r="Z67" s="65"/>
      <c r="AA67" s="66"/>
      <c r="AB67" s="66"/>
      <c r="AC67" s="66"/>
      <c r="AD67" s="65"/>
      <c r="AE67" s="65"/>
      <c r="AF67" s="65"/>
      <c r="AG67" s="66"/>
      <c r="AH67" s="66"/>
      <c r="AI67" s="66"/>
      <c r="AJ67" s="65"/>
      <c r="AK67" s="65"/>
      <c r="AL67" s="65"/>
      <c r="AM67" s="66"/>
      <c r="AN67" s="66"/>
      <c r="AO67" s="66"/>
    </row>
    <row r="68" spans="1:41" s="58" customFormat="1" ht="17.25" x14ac:dyDescent="0.3">
      <c r="A68" s="70" t="s">
        <v>74</v>
      </c>
      <c r="B68" s="16"/>
      <c r="C68" s="43"/>
      <c r="D68" s="44"/>
      <c r="E68" s="3"/>
      <c r="F68" s="65"/>
      <c r="G68" s="65"/>
      <c r="H68" s="65"/>
      <c r="I68" s="66"/>
      <c r="J68" s="66"/>
      <c r="K68" s="66"/>
      <c r="L68" s="65"/>
      <c r="M68" s="65"/>
      <c r="N68" s="65"/>
      <c r="O68" s="66"/>
      <c r="P68" s="66"/>
      <c r="Q68" s="66"/>
      <c r="R68" s="65"/>
      <c r="S68" s="65"/>
      <c r="T68" s="65"/>
      <c r="U68" s="66"/>
      <c r="V68" s="66"/>
      <c r="W68" s="66"/>
      <c r="X68" s="65"/>
      <c r="Y68" s="65"/>
      <c r="Z68" s="65"/>
      <c r="AA68" s="66"/>
      <c r="AB68" s="66"/>
      <c r="AC68" s="66"/>
      <c r="AD68" s="65"/>
      <c r="AE68" s="65"/>
      <c r="AF68" s="65"/>
      <c r="AG68" s="66"/>
      <c r="AH68" s="66"/>
      <c r="AI68" s="66"/>
      <c r="AJ68" s="65"/>
      <c r="AK68" s="65"/>
      <c r="AL68" s="65"/>
      <c r="AM68" s="66"/>
      <c r="AN68" s="66"/>
      <c r="AO68" s="66"/>
    </row>
    <row r="69" spans="1:41" s="58" customFormat="1" ht="17.25" x14ac:dyDescent="0.3">
      <c r="A69" s="15" t="s">
        <v>21</v>
      </c>
      <c r="B69" s="16"/>
      <c r="C69" s="14">
        <f t="shared" ref="C69" si="42">H69+K69+N69+Q69+T69+W69+Z69+AC69+AF69+AI69+AL69</f>
        <v>0</v>
      </c>
      <c r="D69" s="45"/>
      <c r="E69" s="3"/>
      <c r="F69" s="132">
        <v>0</v>
      </c>
      <c r="G69" s="65"/>
      <c r="H69" s="65">
        <f t="shared" si="27"/>
        <v>0</v>
      </c>
      <c r="I69" s="132">
        <v>0</v>
      </c>
      <c r="J69" s="66"/>
      <c r="K69" s="66">
        <f t="shared" si="28"/>
        <v>0</v>
      </c>
      <c r="L69" s="65">
        <v>0</v>
      </c>
      <c r="M69" s="65"/>
      <c r="N69" s="65">
        <f t="shared" si="29"/>
        <v>0</v>
      </c>
      <c r="O69" s="132">
        <v>0</v>
      </c>
      <c r="P69" s="66"/>
      <c r="Q69" s="66">
        <f t="shared" si="30"/>
        <v>0</v>
      </c>
      <c r="R69" s="132">
        <v>0</v>
      </c>
      <c r="S69" s="65"/>
      <c r="T69" s="65">
        <f t="shared" si="31"/>
        <v>0</v>
      </c>
      <c r="U69" s="132"/>
      <c r="V69" s="66"/>
      <c r="W69" s="66">
        <f t="shared" si="32"/>
        <v>0</v>
      </c>
      <c r="X69" s="132"/>
      <c r="Y69" s="65"/>
      <c r="Z69" s="65">
        <f t="shared" si="33"/>
        <v>0</v>
      </c>
      <c r="AA69" s="132"/>
      <c r="AB69" s="66"/>
      <c r="AC69" s="66">
        <f t="shared" si="34"/>
        <v>0</v>
      </c>
      <c r="AD69" s="65"/>
      <c r="AE69" s="65"/>
      <c r="AF69" s="65">
        <f t="shared" si="35"/>
        <v>0</v>
      </c>
      <c r="AG69" s="66"/>
      <c r="AH69" s="66"/>
      <c r="AI69" s="66">
        <f t="shared" si="36"/>
        <v>0</v>
      </c>
      <c r="AJ69" s="65"/>
      <c r="AK69" s="65"/>
      <c r="AL69" s="65">
        <f t="shared" si="37"/>
        <v>0</v>
      </c>
      <c r="AM69" s="66"/>
      <c r="AN69" s="66"/>
      <c r="AO69" s="66">
        <f t="shared" ref="AO69:AO72" si="43">AM69+AN69</f>
        <v>0</v>
      </c>
    </row>
    <row r="70" spans="1:41" s="58" customFormat="1" ht="17.25" x14ac:dyDescent="0.3">
      <c r="A70" s="15" t="s">
        <v>22</v>
      </c>
      <c r="B70" s="16"/>
      <c r="C70" s="14">
        <f>H70+K70+N70+Q70+T70+W70+Z70+AC70+AF70+AI70+AL70+AO70</f>
        <v>40248</v>
      </c>
      <c r="D70" s="24"/>
      <c r="E70" s="3"/>
      <c r="F70" s="132">
        <v>5723</v>
      </c>
      <c r="G70" s="65"/>
      <c r="H70" s="65">
        <f t="shared" si="27"/>
        <v>5723</v>
      </c>
      <c r="I70" s="132">
        <v>15500</v>
      </c>
      <c r="J70" s="66"/>
      <c r="K70" s="66">
        <f t="shared" si="28"/>
        <v>15500</v>
      </c>
      <c r="L70" s="65">
        <v>0</v>
      </c>
      <c r="M70" s="65"/>
      <c r="N70" s="65">
        <f t="shared" si="29"/>
        <v>0</v>
      </c>
      <c r="O70" s="132">
        <v>19025</v>
      </c>
      <c r="P70" s="66"/>
      <c r="Q70" s="66">
        <f t="shared" si="30"/>
        <v>19025</v>
      </c>
      <c r="R70" s="132">
        <v>0</v>
      </c>
      <c r="S70" s="65"/>
      <c r="T70" s="65">
        <f t="shared" si="31"/>
        <v>0</v>
      </c>
      <c r="U70" s="132"/>
      <c r="V70" s="66"/>
      <c r="W70" s="66">
        <f t="shared" si="32"/>
        <v>0</v>
      </c>
      <c r="X70" s="132">
        <v>0</v>
      </c>
      <c r="Y70" s="65"/>
      <c r="Z70" s="65">
        <f t="shared" si="33"/>
        <v>0</v>
      </c>
      <c r="AA70" s="132">
        <v>0</v>
      </c>
      <c r="AB70" s="66"/>
      <c r="AC70" s="66">
        <f t="shared" si="34"/>
        <v>0</v>
      </c>
      <c r="AD70" s="65"/>
      <c r="AE70" s="65"/>
      <c r="AF70" s="65">
        <f t="shared" si="35"/>
        <v>0</v>
      </c>
      <c r="AG70" s="66"/>
      <c r="AH70" s="66"/>
      <c r="AI70" s="66">
        <f t="shared" si="36"/>
        <v>0</v>
      </c>
      <c r="AJ70" s="65"/>
      <c r="AK70" s="65"/>
      <c r="AL70" s="65">
        <f t="shared" si="37"/>
        <v>0</v>
      </c>
      <c r="AM70" s="66"/>
      <c r="AN70" s="66"/>
      <c r="AO70" s="66">
        <f t="shared" si="43"/>
        <v>0</v>
      </c>
    </row>
    <row r="71" spans="1:41" s="58" customFormat="1" ht="17.25" x14ac:dyDescent="0.3">
      <c r="A71" s="15" t="s">
        <v>23</v>
      </c>
      <c r="B71" s="16"/>
      <c r="C71" s="14">
        <f>H71+K71+N71+Q71+T71+W71+Z71+AC71+AF71+AI71+AL71+AO71</f>
        <v>14235</v>
      </c>
      <c r="D71" s="24"/>
      <c r="E71" s="3"/>
      <c r="F71" s="132">
        <v>145795</v>
      </c>
      <c r="G71" s="120">
        <f>-100000-33060</f>
        <v>-133060</v>
      </c>
      <c r="H71" s="65">
        <f t="shared" si="27"/>
        <v>12735</v>
      </c>
      <c r="I71" s="132">
        <v>46046</v>
      </c>
      <c r="J71" s="120">
        <v>-46046</v>
      </c>
      <c r="K71" s="66">
        <f t="shared" si="28"/>
        <v>0</v>
      </c>
      <c r="L71" s="65">
        <v>0</v>
      </c>
      <c r="M71" s="65"/>
      <c r="N71" s="65">
        <f t="shared" si="29"/>
        <v>0</v>
      </c>
      <c r="O71" s="132">
        <v>291152</v>
      </c>
      <c r="P71" s="120">
        <f>-217000-74152</f>
        <v>-291152</v>
      </c>
      <c r="Q71" s="66">
        <f t="shared" si="30"/>
        <v>0</v>
      </c>
      <c r="R71" s="132">
        <v>788162</v>
      </c>
      <c r="S71" s="120">
        <v>-788162</v>
      </c>
      <c r="T71" s="65">
        <f t="shared" si="31"/>
        <v>0</v>
      </c>
      <c r="U71" s="132">
        <v>11068</v>
      </c>
      <c r="V71" s="120">
        <v>-9568</v>
      </c>
      <c r="W71" s="66">
        <f t="shared" si="32"/>
        <v>1500</v>
      </c>
      <c r="X71" s="132">
        <v>0</v>
      </c>
      <c r="Y71" s="65"/>
      <c r="Z71" s="65">
        <f t="shared" si="33"/>
        <v>0</v>
      </c>
      <c r="AA71" s="132">
        <v>15878</v>
      </c>
      <c r="AB71" s="120">
        <f>-15878</f>
        <v>-15878</v>
      </c>
      <c r="AC71" s="66">
        <f t="shared" si="34"/>
        <v>0</v>
      </c>
      <c r="AD71" s="65">
        <v>0</v>
      </c>
      <c r="AE71" s="120"/>
      <c r="AF71" s="65">
        <f t="shared" si="35"/>
        <v>0</v>
      </c>
      <c r="AG71" s="66"/>
      <c r="AH71" s="66"/>
      <c r="AI71" s="66">
        <f t="shared" si="36"/>
        <v>0</v>
      </c>
      <c r="AJ71" s="65"/>
      <c r="AK71" s="65"/>
      <c r="AL71" s="65">
        <f t="shared" si="37"/>
        <v>0</v>
      </c>
      <c r="AM71" s="66"/>
      <c r="AN71" s="66"/>
      <c r="AO71" s="66">
        <f t="shared" si="43"/>
        <v>0</v>
      </c>
    </row>
    <row r="72" spans="1:41" s="58" customFormat="1" ht="17.25" x14ac:dyDescent="0.3">
      <c r="A72" s="15" t="s">
        <v>24</v>
      </c>
      <c r="B72" s="16"/>
      <c r="C72" s="14">
        <f>H72+K72+N72+Q72+T72+W72+Z72+AC72+AF72+AI72+AL72+AO72</f>
        <v>1726918</v>
      </c>
      <c r="D72" s="24"/>
      <c r="E72" s="3"/>
      <c r="F72" s="132">
        <v>488604</v>
      </c>
      <c r="G72" s="65"/>
      <c r="H72" s="65">
        <f t="shared" si="27"/>
        <v>488604</v>
      </c>
      <c r="I72" s="132">
        <v>304681</v>
      </c>
      <c r="J72" s="66"/>
      <c r="K72" s="66">
        <f t="shared" si="28"/>
        <v>304681</v>
      </c>
      <c r="L72" s="65">
        <v>0</v>
      </c>
      <c r="M72" s="65"/>
      <c r="N72" s="65">
        <f t="shared" si="29"/>
        <v>0</v>
      </c>
      <c r="O72" s="132">
        <v>115558</v>
      </c>
      <c r="P72" s="66"/>
      <c r="Q72" s="66">
        <f t="shared" si="30"/>
        <v>115558</v>
      </c>
      <c r="R72" s="132">
        <f>598978-1</f>
        <v>598977</v>
      </c>
      <c r="S72" s="65"/>
      <c r="T72" s="65">
        <f t="shared" si="31"/>
        <v>598977</v>
      </c>
      <c r="U72" s="132">
        <v>53386</v>
      </c>
      <c r="V72" s="66"/>
      <c r="W72" s="66">
        <f t="shared" si="32"/>
        <v>53386</v>
      </c>
      <c r="X72" s="132">
        <v>94656</v>
      </c>
      <c r="Y72" s="65"/>
      <c r="Z72" s="65">
        <f t="shared" si="33"/>
        <v>94656</v>
      </c>
      <c r="AA72" s="132">
        <v>64704</v>
      </c>
      <c r="AB72" s="66"/>
      <c r="AC72" s="66">
        <f t="shared" si="34"/>
        <v>64704</v>
      </c>
      <c r="AD72" s="65">
        <v>6352</v>
      </c>
      <c r="AE72" s="65"/>
      <c r="AF72" s="65">
        <f t="shared" si="35"/>
        <v>6352</v>
      </c>
      <c r="AG72" s="66"/>
      <c r="AH72" s="66"/>
      <c r="AI72" s="66">
        <f t="shared" si="36"/>
        <v>0</v>
      </c>
      <c r="AJ72" s="65"/>
      <c r="AK72" s="65"/>
      <c r="AL72" s="65">
        <f t="shared" si="37"/>
        <v>0</v>
      </c>
      <c r="AM72" s="66"/>
      <c r="AN72" s="66"/>
      <c r="AO72" s="66">
        <f t="shared" si="43"/>
        <v>0</v>
      </c>
    </row>
    <row r="73" spans="1:41" s="58" customFormat="1" ht="18.95" customHeight="1" x14ac:dyDescent="0.3">
      <c r="A73" s="4" t="s">
        <v>25</v>
      </c>
      <c r="B73" s="16"/>
      <c r="C73" s="17">
        <f>SUM(C69:C72)</f>
        <v>1781401</v>
      </c>
      <c r="D73" s="28"/>
      <c r="E73" s="3"/>
      <c r="F73" s="17">
        <f>SUM(F69:F72)</f>
        <v>640122</v>
      </c>
      <c r="G73" s="17">
        <f t="shared" ref="G73:AO73" si="44">SUM(G69:G72)</f>
        <v>-133060</v>
      </c>
      <c r="H73" s="17">
        <f t="shared" si="44"/>
        <v>507062</v>
      </c>
      <c r="I73" s="17">
        <f t="shared" si="44"/>
        <v>366227</v>
      </c>
      <c r="J73" s="17">
        <f t="shared" si="44"/>
        <v>-46046</v>
      </c>
      <c r="K73" s="17">
        <f t="shared" si="44"/>
        <v>320181</v>
      </c>
      <c r="L73" s="17">
        <f t="shared" si="44"/>
        <v>0</v>
      </c>
      <c r="M73" s="17">
        <f t="shared" si="44"/>
        <v>0</v>
      </c>
      <c r="N73" s="17">
        <f t="shared" si="44"/>
        <v>0</v>
      </c>
      <c r="O73" s="17">
        <f t="shared" si="44"/>
        <v>425735</v>
      </c>
      <c r="P73" s="17">
        <f t="shared" si="44"/>
        <v>-291152</v>
      </c>
      <c r="Q73" s="17">
        <f t="shared" si="44"/>
        <v>134583</v>
      </c>
      <c r="R73" s="17">
        <f t="shared" si="44"/>
        <v>1387139</v>
      </c>
      <c r="S73" s="17">
        <f t="shared" si="44"/>
        <v>-788162</v>
      </c>
      <c r="T73" s="17">
        <f t="shared" si="44"/>
        <v>598977</v>
      </c>
      <c r="U73" s="17">
        <f t="shared" si="44"/>
        <v>64454</v>
      </c>
      <c r="V73" s="17">
        <f t="shared" si="44"/>
        <v>-9568</v>
      </c>
      <c r="W73" s="17">
        <f t="shared" si="44"/>
        <v>54886</v>
      </c>
      <c r="X73" s="17">
        <f t="shared" si="44"/>
        <v>94656</v>
      </c>
      <c r="Y73" s="17">
        <f t="shared" si="44"/>
        <v>0</v>
      </c>
      <c r="Z73" s="17">
        <f t="shared" si="44"/>
        <v>94656</v>
      </c>
      <c r="AA73" s="17">
        <f t="shared" si="44"/>
        <v>80582</v>
      </c>
      <c r="AB73" s="17">
        <f t="shared" si="44"/>
        <v>-15878</v>
      </c>
      <c r="AC73" s="17">
        <f t="shared" si="44"/>
        <v>64704</v>
      </c>
      <c r="AD73" s="17">
        <f t="shared" si="44"/>
        <v>6352</v>
      </c>
      <c r="AE73" s="17">
        <f t="shared" si="44"/>
        <v>0</v>
      </c>
      <c r="AF73" s="17">
        <f t="shared" si="44"/>
        <v>6352</v>
      </c>
      <c r="AG73" s="17">
        <f t="shared" si="44"/>
        <v>0</v>
      </c>
      <c r="AH73" s="17">
        <f t="shared" si="44"/>
        <v>0</v>
      </c>
      <c r="AI73" s="17">
        <f t="shared" si="44"/>
        <v>0</v>
      </c>
      <c r="AJ73" s="17">
        <f t="shared" si="44"/>
        <v>0</v>
      </c>
      <c r="AK73" s="17">
        <f t="shared" si="44"/>
        <v>0</v>
      </c>
      <c r="AL73" s="17">
        <f t="shared" si="44"/>
        <v>0</v>
      </c>
      <c r="AM73" s="17">
        <f t="shared" si="44"/>
        <v>0</v>
      </c>
      <c r="AN73" s="17">
        <f t="shared" si="44"/>
        <v>0</v>
      </c>
      <c r="AO73" s="17">
        <f t="shared" si="44"/>
        <v>0</v>
      </c>
    </row>
    <row r="74" spans="1:41" s="58" customFormat="1" ht="18.95" customHeight="1" thickBot="1" x14ac:dyDescent="0.35">
      <c r="A74" s="70" t="s">
        <v>69</v>
      </c>
      <c r="B74" s="16"/>
      <c r="C74" s="17">
        <f>C66+C73</f>
        <v>3788801</v>
      </c>
      <c r="D74" s="28"/>
      <c r="E74" s="3"/>
      <c r="F74" s="17">
        <f t="shared" ref="F74:AO74" si="45">F66+F73</f>
        <v>2605822</v>
      </c>
      <c r="G74" s="17">
        <f t="shared" si="45"/>
        <v>-133060</v>
      </c>
      <c r="H74" s="17">
        <f t="shared" si="45"/>
        <v>2472762</v>
      </c>
      <c r="I74" s="17">
        <f t="shared" si="45"/>
        <v>366227</v>
      </c>
      <c r="J74" s="17">
        <f t="shared" si="45"/>
        <v>-46046</v>
      </c>
      <c r="K74" s="17">
        <f t="shared" si="45"/>
        <v>320181</v>
      </c>
      <c r="L74" s="17">
        <f t="shared" si="45"/>
        <v>0</v>
      </c>
      <c r="M74" s="17">
        <f t="shared" si="45"/>
        <v>0</v>
      </c>
      <c r="N74" s="17">
        <f t="shared" si="45"/>
        <v>0</v>
      </c>
      <c r="O74" s="17">
        <f t="shared" si="45"/>
        <v>454735</v>
      </c>
      <c r="P74" s="17">
        <f t="shared" si="45"/>
        <v>-291152</v>
      </c>
      <c r="Q74" s="17">
        <f t="shared" si="45"/>
        <v>163583</v>
      </c>
      <c r="R74" s="17">
        <f t="shared" si="45"/>
        <v>1399839</v>
      </c>
      <c r="S74" s="17">
        <f t="shared" si="45"/>
        <v>-788162</v>
      </c>
      <c r="T74" s="17">
        <f t="shared" si="45"/>
        <v>611677</v>
      </c>
      <c r="U74" s="17">
        <f t="shared" si="45"/>
        <v>64454</v>
      </c>
      <c r="V74" s="17">
        <f t="shared" si="45"/>
        <v>-9568</v>
      </c>
      <c r="W74" s="17">
        <f t="shared" si="45"/>
        <v>54886</v>
      </c>
      <c r="X74" s="17">
        <f t="shared" si="45"/>
        <v>94656</v>
      </c>
      <c r="Y74" s="17">
        <f t="shared" si="45"/>
        <v>0</v>
      </c>
      <c r="Z74" s="17">
        <f t="shared" si="45"/>
        <v>94656</v>
      </c>
      <c r="AA74" s="17">
        <f t="shared" si="45"/>
        <v>80582</v>
      </c>
      <c r="AB74" s="17">
        <f t="shared" si="45"/>
        <v>-15878</v>
      </c>
      <c r="AC74" s="17">
        <f t="shared" si="45"/>
        <v>64704</v>
      </c>
      <c r="AD74" s="17">
        <f t="shared" si="45"/>
        <v>6352</v>
      </c>
      <c r="AE74" s="17">
        <f t="shared" si="45"/>
        <v>0</v>
      </c>
      <c r="AF74" s="17">
        <f t="shared" si="45"/>
        <v>6352</v>
      </c>
      <c r="AG74" s="17">
        <f t="shared" si="45"/>
        <v>0</v>
      </c>
      <c r="AH74" s="17">
        <f t="shared" si="45"/>
        <v>0</v>
      </c>
      <c r="AI74" s="17">
        <f t="shared" si="45"/>
        <v>0</v>
      </c>
      <c r="AJ74" s="17">
        <f t="shared" si="45"/>
        <v>0</v>
      </c>
      <c r="AK74" s="17">
        <f t="shared" si="45"/>
        <v>0</v>
      </c>
      <c r="AL74" s="17">
        <f t="shared" si="45"/>
        <v>0</v>
      </c>
      <c r="AM74" s="17">
        <f t="shared" si="45"/>
        <v>0</v>
      </c>
      <c r="AN74" s="17">
        <f t="shared" si="45"/>
        <v>0</v>
      </c>
      <c r="AO74" s="17">
        <f t="shared" si="45"/>
        <v>0</v>
      </c>
    </row>
    <row r="75" spans="1:41" s="58" customFormat="1" ht="18" thickTop="1" x14ac:dyDescent="0.3">
      <c r="A75" s="15" t="s">
        <v>1</v>
      </c>
      <c r="B75" s="16"/>
      <c r="C75" s="46"/>
      <c r="D75" s="24"/>
      <c r="E75" s="3"/>
      <c r="F75" s="65"/>
      <c r="G75" s="65"/>
      <c r="H75" s="65"/>
      <c r="I75" s="66"/>
      <c r="J75" s="66"/>
      <c r="K75" s="66"/>
      <c r="L75" s="65"/>
      <c r="M75" s="65"/>
      <c r="N75" s="65"/>
      <c r="O75" s="66"/>
      <c r="P75" s="66"/>
      <c r="Q75" s="66"/>
      <c r="R75" s="65"/>
      <c r="S75" s="65"/>
      <c r="T75" s="65"/>
      <c r="U75" s="66"/>
      <c r="V75" s="66"/>
      <c r="W75" s="66"/>
      <c r="X75" s="65"/>
      <c r="Y75" s="65"/>
      <c r="Z75" s="65"/>
      <c r="AA75" s="66"/>
      <c r="AB75" s="66"/>
      <c r="AC75" s="66"/>
      <c r="AD75" s="65"/>
      <c r="AE75" s="65"/>
      <c r="AF75" s="65"/>
      <c r="AG75" s="66"/>
      <c r="AH75" s="66"/>
      <c r="AI75" s="66"/>
      <c r="AJ75" s="65"/>
      <c r="AK75" s="65"/>
      <c r="AL75" s="65"/>
      <c r="AM75" s="66"/>
      <c r="AN75" s="66"/>
      <c r="AO75" s="66"/>
    </row>
    <row r="76" spans="1:41" s="58" customFormat="1" ht="17.25" x14ac:dyDescent="0.3">
      <c r="A76" s="4" t="s">
        <v>26</v>
      </c>
      <c r="B76" s="16"/>
      <c r="C76" s="19"/>
      <c r="D76" s="24"/>
      <c r="E76" s="3"/>
      <c r="F76" s="65"/>
      <c r="G76" s="65"/>
      <c r="H76" s="65"/>
      <c r="I76" s="66"/>
      <c r="J76" s="66"/>
      <c r="K76" s="66"/>
      <c r="L76" s="65"/>
      <c r="M76" s="65"/>
      <c r="N76" s="65"/>
      <c r="O76" s="66"/>
      <c r="P76" s="66"/>
      <c r="Q76" s="66"/>
      <c r="R76" s="65"/>
      <c r="S76" s="65"/>
      <c r="T76" s="65"/>
      <c r="U76" s="66"/>
      <c r="V76" s="66"/>
      <c r="W76" s="66"/>
      <c r="X76" s="65"/>
      <c r="Y76" s="65"/>
      <c r="Z76" s="65"/>
      <c r="AA76" s="66"/>
      <c r="AB76" s="66"/>
      <c r="AC76" s="66"/>
      <c r="AD76" s="65"/>
      <c r="AE76" s="65"/>
      <c r="AF76" s="65"/>
      <c r="AG76" s="66"/>
      <c r="AH76" s="66"/>
      <c r="AI76" s="66"/>
      <c r="AJ76" s="65"/>
      <c r="AK76" s="65"/>
      <c r="AL76" s="65"/>
      <c r="AM76" s="66"/>
      <c r="AN76" s="66"/>
      <c r="AO76" s="66"/>
    </row>
    <row r="77" spans="1:41" s="58" customFormat="1" ht="6.95" customHeight="1" x14ac:dyDescent="0.3">
      <c r="A77" s="4"/>
      <c r="B77" s="16"/>
      <c r="C77" s="19"/>
      <c r="D77" s="24"/>
      <c r="E77" s="3"/>
      <c r="F77" s="65"/>
      <c r="G77" s="65"/>
      <c r="H77" s="65"/>
      <c r="I77" s="66"/>
      <c r="J77" s="66"/>
      <c r="K77" s="66"/>
      <c r="L77" s="65"/>
      <c r="M77" s="65"/>
      <c r="N77" s="65"/>
      <c r="O77" s="66"/>
      <c r="P77" s="66"/>
      <c r="Q77" s="66"/>
      <c r="R77" s="65"/>
      <c r="S77" s="65"/>
      <c r="T77" s="65"/>
      <c r="U77" s="66"/>
      <c r="V77" s="66"/>
      <c r="W77" s="66"/>
      <c r="X77" s="65"/>
      <c r="Y77" s="65"/>
      <c r="Z77" s="65"/>
      <c r="AA77" s="66"/>
      <c r="AB77" s="66"/>
      <c r="AC77" s="66"/>
      <c r="AD77" s="65"/>
      <c r="AE77" s="65"/>
      <c r="AF77" s="65"/>
      <c r="AG77" s="66"/>
      <c r="AH77" s="66"/>
      <c r="AI77" s="66"/>
      <c r="AJ77" s="65"/>
      <c r="AK77" s="65"/>
      <c r="AL77" s="65"/>
      <c r="AM77" s="66"/>
      <c r="AN77" s="66"/>
      <c r="AO77" s="66"/>
    </row>
    <row r="78" spans="1:41" s="58" customFormat="1" ht="17.25" x14ac:dyDescent="0.3">
      <c r="A78" s="4" t="s">
        <v>27</v>
      </c>
      <c r="B78" s="25"/>
      <c r="C78" s="47"/>
      <c r="D78" s="48"/>
      <c r="E78" s="3"/>
      <c r="F78" s="65"/>
      <c r="G78" s="65"/>
      <c r="H78" s="65"/>
      <c r="I78" s="66"/>
      <c r="J78" s="66"/>
      <c r="K78" s="66"/>
      <c r="L78" s="65"/>
      <c r="M78" s="65"/>
      <c r="N78" s="65"/>
      <c r="O78" s="66"/>
      <c r="P78" s="66"/>
      <c r="Q78" s="66"/>
      <c r="R78" s="65"/>
      <c r="S78" s="65"/>
      <c r="T78" s="65"/>
      <c r="U78" s="66"/>
      <c r="V78" s="66"/>
      <c r="W78" s="66"/>
      <c r="X78" s="65"/>
      <c r="Y78" s="65"/>
      <c r="Z78" s="65"/>
      <c r="AA78" s="66"/>
      <c r="AB78" s="66"/>
      <c r="AC78" s="66"/>
      <c r="AD78" s="65"/>
      <c r="AE78" s="65"/>
      <c r="AF78" s="65"/>
      <c r="AG78" s="66"/>
      <c r="AH78" s="66"/>
      <c r="AI78" s="66"/>
      <c r="AJ78" s="65"/>
      <c r="AK78" s="65"/>
      <c r="AL78" s="65"/>
      <c r="AM78" s="66"/>
      <c r="AN78" s="66"/>
      <c r="AO78" s="66"/>
    </row>
    <row r="79" spans="1:41" s="58" customFormat="1" ht="17.25" hidden="1" x14ac:dyDescent="0.3">
      <c r="A79" s="4" t="s">
        <v>28</v>
      </c>
      <c r="B79" s="16"/>
      <c r="C79" s="19"/>
      <c r="D79" s="24"/>
      <c r="E79" s="3"/>
      <c r="F79" s="65"/>
      <c r="G79" s="65"/>
      <c r="H79" s="65"/>
      <c r="I79" s="66"/>
      <c r="J79" s="66"/>
      <c r="K79" s="66"/>
      <c r="L79" s="65"/>
      <c r="M79" s="65"/>
      <c r="N79" s="65"/>
      <c r="O79" s="66"/>
      <c r="P79" s="66"/>
      <c r="Q79" s="66"/>
      <c r="R79" s="65"/>
      <c r="S79" s="65"/>
      <c r="T79" s="65"/>
      <c r="U79" s="66"/>
      <c r="V79" s="66"/>
      <c r="W79" s="66"/>
      <c r="X79" s="65"/>
      <c r="Y79" s="65"/>
      <c r="Z79" s="65"/>
      <c r="AA79" s="66"/>
      <c r="AB79" s="66"/>
      <c r="AC79" s="66"/>
      <c r="AD79" s="65"/>
      <c r="AE79" s="65"/>
      <c r="AF79" s="65"/>
      <c r="AG79" s="66"/>
      <c r="AH79" s="66"/>
      <c r="AI79" s="66"/>
      <c r="AJ79" s="65"/>
      <c r="AK79" s="65"/>
      <c r="AL79" s="65"/>
      <c r="AM79" s="66"/>
      <c r="AN79" s="66"/>
      <c r="AO79" s="66"/>
    </row>
    <row r="80" spans="1:41" s="58" customFormat="1" ht="17.25" hidden="1" x14ac:dyDescent="0.3">
      <c r="A80" s="15" t="s">
        <v>29</v>
      </c>
      <c r="B80" s="16"/>
      <c r="C80" s="19">
        <v>0</v>
      </c>
      <c r="D80" s="24"/>
      <c r="E80" s="3"/>
      <c r="F80" s="65"/>
      <c r="G80" s="65"/>
      <c r="H80" s="65"/>
      <c r="I80" s="66"/>
      <c r="J80" s="66"/>
      <c r="K80" s="66"/>
      <c r="L80" s="65"/>
      <c r="M80" s="65"/>
      <c r="N80" s="65"/>
      <c r="O80" s="66"/>
      <c r="P80" s="66"/>
      <c r="Q80" s="66"/>
      <c r="R80" s="65"/>
      <c r="S80" s="65"/>
      <c r="T80" s="65"/>
      <c r="U80" s="66"/>
      <c r="V80" s="66"/>
      <c r="W80" s="66"/>
      <c r="X80" s="65"/>
      <c r="Y80" s="65"/>
      <c r="Z80" s="65"/>
      <c r="AA80" s="66"/>
      <c r="AB80" s="66"/>
      <c r="AC80" s="66"/>
      <c r="AD80" s="65"/>
      <c r="AE80" s="65"/>
      <c r="AF80" s="65"/>
      <c r="AG80" s="66"/>
      <c r="AH80" s="66"/>
      <c r="AI80" s="66"/>
      <c r="AJ80" s="65"/>
      <c r="AK80" s="65"/>
      <c r="AL80" s="65"/>
      <c r="AM80" s="66"/>
      <c r="AN80" s="66"/>
      <c r="AO80" s="66"/>
    </row>
    <row r="81" spans="1:41" s="58" customFormat="1" ht="17.25" hidden="1" x14ac:dyDescent="0.3">
      <c r="A81" s="4" t="s">
        <v>30</v>
      </c>
      <c r="B81" s="16"/>
      <c r="C81" s="18">
        <f>C80</f>
        <v>0</v>
      </c>
      <c r="D81" s="24"/>
      <c r="E81" s="3"/>
      <c r="F81" s="65"/>
      <c r="G81" s="65"/>
      <c r="H81" s="65"/>
      <c r="I81" s="66"/>
      <c r="J81" s="66"/>
      <c r="K81" s="66"/>
      <c r="L81" s="65"/>
      <c r="M81" s="65"/>
      <c r="N81" s="65"/>
      <c r="O81" s="66"/>
      <c r="P81" s="66"/>
      <c r="Q81" s="66"/>
      <c r="R81" s="65"/>
      <c r="S81" s="65"/>
      <c r="T81" s="65"/>
      <c r="U81" s="66"/>
      <c r="V81" s="66"/>
      <c r="W81" s="66"/>
      <c r="X81" s="65"/>
      <c r="Y81" s="65"/>
      <c r="Z81" s="65"/>
      <c r="AA81" s="66"/>
      <c r="AB81" s="66"/>
      <c r="AC81" s="66"/>
      <c r="AD81" s="65"/>
      <c r="AE81" s="65"/>
      <c r="AF81" s="65"/>
      <c r="AG81" s="66"/>
      <c r="AH81" s="66"/>
      <c r="AI81" s="66"/>
      <c r="AJ81" s="65"/>
      <c r="AK81" s="65"/>
      <c r="AL81" s="65"/>
      <c r="AM81" s="66"/>
      <c r="AN81" s="66"/>
      <c r="AO81" s="66"/>
    </row>
    <row r="82" spans="1:41" s="58" customFormat="1" ht="9.9499999999999993" customHeight="1" x14ac:dyDescent="0.3">
      <c r="A82" s="15"/>
      <c r="B82" s="16"/>
      <c r="C82" s="19"/>
      <c r="D82" s="24"/>
      <c r="E82" s="3"/>
      <c r="F82" s="65"/>
      <c r="G82" s="65"/>
      <c r="H82" s="65"/>
      <c r="I82" s="66"/>
      <c r="J82" s="66"/>
      <c r="K82" s="66"/>
      <c r="L82" s="65"/>
      <c r="M82" s="65"/>
      <c r="N82" s="65"/>
      <c r="O82" s="66"/>
      <c r="P82" s="66"/>
      <c r="Q82" s="66"/>
      <c r="R82" s="65"/>
      <c r="S82" s="65"/>
      <c r="T82" s="65"/>
      <c r="U82" s="66"/>
      <c r="V82" s="66"/>
      <c r="W82" s="66"/>
      <c r="X82" s="65"/>
      <c r="Y82" s="65"/>
      <c r="Z82" s="65"/>
      <c r="AA82" s="66"/>
      <c r="AB82" s="66"/>
      <c r="AC82" s="66"/>
      <c r="AD82" s="65"/>
      <c r="AE82" s="65"/>
      <c r="AF82" s="65"/>
      <c r="AG82" s="66"/>
      <c r="AH82" s="66"/>
      <c r="AI82" s="66"/>
      <c r="AJ82" s="65"/>
      <c r="AK82" s="65"/>
      <c r="AL82" s="65"/>
      <c r="AM82" s="66"/>
      <c r="AN82" s="66"/>
      <c r="AO82" s="66"/>
    </row>
    <row r="83" spans="1:41" s="58" customFormat="1" ht="17.25" x14ac:dyDescent="0.3">
      <c r="A83" s="15" t="s">
        <v>31</v>
      </c>
      <c r="B83" s="16"/>
      <c r="C83" s="14">
        <f>H83+K83+N83+Q83+T83+W83+Z83+AC83+AF83+AI83+AL83+AO83</f>
        <v>3647563</v>
      </c>
      <c r="D83" s="24"/>
      <c r="E83" s="3"/>
      <c r="F83" s="132">
        <v>1592773</v>
      </c>
      <c r="G83" s="65"/>
      <c r="H83" s="65">
        <f t="shared" si="27"/>
        <v>1592773</v>
      </c>
      <c r="I83" s="132">
        <v>304527</v>
      </c>
      <c r="J83" s="66"/>
      <c r="K83" s="66">
        <f t="shared" si="28"/>
        <v>304527</v>
      </c>
      <c r="L83" s="65">
        <v>0</v>
      </c>
      <c r="M83" s="65"/>
      <c r="N83" s="65">
        <f t="shared" si="29"/>
        <v>0</v>
      </c>
      <c r="O83" s="132">
        <v>421500</v>
      </c>
      <c r="P83" s="66"/>
      <c r="Q83" s="66">
        <f t="shared" si="30"/>
        <v>421500</v>
      </c>
      <c r="R83" s="132">
        <v>1082719</v>
      </c>
      <c r="S83" s="65"/>
      <c r="T83" s="65">
        <f t="shared" si="31"/>
        <v>1082719</v>
      </c>
      <c r="U83" s="132">
        <v>64454</v>
      </c>
      <c r="V83" s="66"/>
      <c r="W83" s="66">
        <f t="shared" si="32"/>
        <v>64454</v>
      </c>
      <c r="X83" s="132">
        <v>94656</v>
      </c>
      <c r="Y83" s="65"/>
      <c r="Z83" s="65">
        <f t="shared" si="33"/>
        <v>94656</v>
      </c>
      <c r="AA83" s="132">
        <v>80582</v>
      </c>
      <c r="AB83" s="66"/>
      <c r="AC83" s="66">
        <f t="shared" si="34"/>
        <v>80582</v>
      </c>
      <c r="AD83" s="65">
        <v>6352</v>
      </c>
      <c r="AE83" s="65"/>
      <c r="AF83" s="65">
        <f t="shared" si="35"/>
        <v>6352</v>
      </c>
      <c r="AG83" s="66"/>
      <c r="AH83" s="66"/>
      <c r="AI83" s="66">
        <f t="shared" si="36"/>
        <v>0</v>
      </c>
      <c r="AJ83" s="65"/>
      <c r="AK83" s="65"/>
      <c r="AL83" s="65">
        <f t="shared" si="37"/>
        <v>0</v>
      </c>
      <c r="AM83" s="66"/>
      <c r="AN83" s="66"/>
      <c r="AO83" s="66">
        <f t="shared" ref="AO83" si="46">AM83+AN83</f>
        <v>0</v>
      </c>
    </row>
    <row r="84" spans="1:41" s="58" customFormat="1" ht="18.95" customHeight="1" x14ac:dyDescent="0.3">
      <c r="A84" s="4" t="s">
        <v>32</v>
      </c>
      <c r="B84" s="16"/>
      <c r="C84" s="17">
        <f>C83</f>
        <v>3647563</v>
      </c>
      <c r="D84" s="28"/>
      <c r="E84" s="3"/>
      <c r="F84" s="17">
        <f>F83</f>
        <v>1592773</v>
      </c>
      <c r="G84" s="17">
        <f t="shared" ref="G84:AO84" si="47">G83</f>
        <v>0</v>
      </c>
      <c r="H84" s="17">
        <f t="shared" si="47"/>
        <v>1592773</v>
      </c>
      <c r="I84" s="17">
        <f t="shared" si="47"/>
        <v>304527</v>
      </c>
      <c r="J84" s="17">
        <f t="shared" si="47"/>
        <v>0</v>
      </c>
      <c r="K84" s="17">
        <f t="shared" si="47"/>
        <v>304527</v>
      </c>
      <c r="L84" s="17">
        <f t="shared" si="47"/>
        <v>0</v>
      </c>
      <c r="M84" s="17">
        <f t="shared" si="47"/>
        <v>0</v>
      </c>
      <c r="N84" s="17">
        <f t="shared" si="47"/>
        <v>0</v>
      </c>
      <c r="O84" s="17">
        <f t="shared" si="47"/>
        <v>421500</v>
      </c>
      <c r="P84" s="17">
        <f t="shared" si="47"/>
        <v>0</v>
      </c>
      <c r="Q84" s="17">
        <f t="shared" si="47"/>
        <v>421500</v>
      </c>
      <c r="R84" s="17">
        <f t="shared" si="47"/>
        <v>1082719</v>
      </c>
      <c r="S84" s="17">
        <f t="shared" si="47"/>
        <v>0</v>
      </c>
      <c r="T84" s="17">
        <f t="shared" si="47"/>
        <v>1082719</v>
      </c>
      <c r="U84" s="17">
        <f t="shared" si="47"/>
        <v>64454</v>
      </c>
      <c r="V84" s="17">
        <f t="shared" si="47"/>
        <v>0</v>
      </c>
      <c r="W84" s="17">
        <f t="shared" si="47"/>
        <v>64454</v>
      </c>
      <c r="X84" s="17">
        <f t="shared" si="47"/>
        <v>94656</v>
      </c>
      <c r="Y84" s="17">
        <f t="shared" si="47"/>
        <v>0</v>
      </c>
      <c r="Z84" s="17">
        <f t="shared" si="47"/>
        <v>94656</v>
      </c>
      <c r="AA84" s="17">
        <f t="shared" si="47"/>
        <v>80582</v>
      </c>
      <c r="AB84" s="17">
        <f t="shared" si="47"/>
        <v>0</v>
      </c>
      <c r="AC84" s="17">
        <f t="shared" si="47"/>
        <v>80582</v>
      </c>
      <c r="AD84" s="17">
        <f t="shared" si="47"/>
        <v>6352</v>
      </c>
      <c r="AE84" s="17">
        <f t="shared" si="47"/>
        <v>0</v>
      </c>
      <c r="AF84" s="17">
        <f t="shared" si="47"/>
        <v>6352</v>
      </c>
      <c r="AG84" s="17">
        <f t="shared" si="47"/>
        <v>0</v>
      </c>
      <c r="AH84" s="17">
        <f t="shared" si="47"/>
        <v>0</v>
      </c>
      <c r="AI84" s="17">
        <f t="shared" si="47"/>
        <v>0</v>
      </c>
      <c r="AJ84" s="17">
        <f t="shared" si="47"/>
        <v>0</v>
      </c>
      <c r="AK84" s="17">
        <f t="shared" si="47"/>
        <v>0</v>
      </c>
      <c r="AL84" s="17">
        <f t="shared" si="47"/>
        <v>0</v>
      </c>
      <c r="AM84" s="17">
        <f t="shared" si="47"/>
        <v>0</v>
      </c>
      <c r="AN84" s="17">
        <f t="shared" si="47"/>
        <v>0</v>
      </c>
      <c r="AO84" s="17">
        <f t="shared" si="47"/>
        <v>0</v>
      </c>
    </row>
    <row r="85" spans="1:41" s="58" customFormat="1" ht="9.9499999999999993" customHeight="1" x14ac:dyDescent="0.3">
      <c r="A85" s="4"/>
      <c r="B85" s="16"/>
      <c r="C85" s="17"/>
      <c r="D85" s="28"/>
      <c r="E85" s="3"/>
      <c r="F85" s="65"/>
      <c r="G85" s="65"/>
      <c r="H85" s="65"/>
      <c r="I85" s="66"/>
      <c r="J85" s="66"/>
      <c r="K85" s="66"/>
      <c r="L85" s="65"/>
      <c r="M85" s="65"/>
      <c r="N85" s="65"/>
      <c r="O85" s="66"/>
      <c r="P85" s="66"/>
      <c r="Q85" s="66"/>
      <c r="R85" s="65"/>
      <c r="S85" s="65"/>
      <c r="T85" s="65"/>
      <c r="U85" s="66"/>
      <c r="V85" s="66"/>
      <c r="W85" s="66"/>
      <c r="X85" s="65"/>
      <c r="Y85" s="65"/>
      <c r="Z85" s="65"/>
      <c r="AA85" s="66"/>
      <c r="AB85" s="66"/>
      <c r="AC85" s="66"/>
      <c r="AD85" s="65"/>
      <c r="AE85" s="65"/>
      <c r="AF85" s="65"/>
      <c r="AG85" s="66"/>
      <c r="AH85" s="66"/>
      <c r="AI85" s="66"/>
      <c r="AJ85" s="65"/>
      <c r="AK85" s="65"/>
      <c r="AL85" s="65"/>
      <c r="AM85" s="66"/>
      <c r="AN85" s="66"/>
      <c r="AO85" s="66"/>
    </row>
    <row r="86" spans="1:41" s="58" customFormat="1" ht="17.25" x14ac:dyDescent="0.3">
      <c r="A86" s="4" t="s">
        <v>33</v>
      </c>
      <c r="B86" s="16"/>
      <c r="C86" s="28"/>
      <c r="D86" s="28"/>
      <c r="E86" s="3"/>
      <c r="F86" s="65"/>
      <c r="G86" s="65"/>
      <c r="H86" s="65">
        <f t="shared" si="27"/>
        <v>0</v>
      </c>
      <c r="I86" s="66"/>
      <c r="J86" s="66"/>
      <c r="K86" s="66">
        <f t="shared" si="28"/>
        <v>0</v>
      </c>
      <c r="L86" s="65"/>
      <c r="M86" s="65"/>
      <c r="N86" s="65">
        <f t="shared" si="29"/>
        <v>0</v>
      </c>
      <c r="O86" s="66"/>
      <c r="P86" s="66"/>
      <c r="Q86" s="66">
        <f t="shared" si="30"/>
        <v>0</v>
      </c>
      <c r="R86" s="65"/>
      <c r="S86" s="65"/>
      <c r="T86" s="65">
        <f t="shared" si="31"/>
        <v>0</v>
      </c>
      <c r="U86" s="66"/>
      <c r="V86" s="66"/>
      <c r="W86" s="66">
        <f t="shared" si="32"/>
        <v>0</v>
      </c>
      <c r="X86" s="65"/>
      <c r="Y86" s="65"/>
      <c r="Z86" s="65">
        <f t="shared" si="33"/>
        <v>0</v>
      </c>
      <c r="AA86" s="66"/>
      <c r="AB86" s="66"/>
      <c r="AC86" s="66">
        <f t="shared" si="34"/>
        <v>0</v>
      </c>
      <c r="AD86" s="65"/>
      <c r="AE86" s="65"/>
      <c r="AF86" s="65">
        <f t="shared" si="35"/>
        <v>0</v>
      </c>
      <c r="AG86" s="66"/>
      <c r="AH86" s="66"/>
      <c r="AI86" s="66">
        <f t="shared" si="36"/>
        <v>0</v>
      </c>
      <c r="AJ86" s="65"/>
      <c r="AK86" s="65"/>
      <c r="AL86" s="65">
        <f t="shared" si="37"/>
        <v>0</v>
      </c>
      <c r="AM86" s="66"/>
      <c r="AN86" s="66"/>
      <c r="AO86" s="66">
        <f t="shared" ref="AO86:AO88" si="48">AM86+AN86</f>
        <v>0</v>
      </c>
    </row>
    <row r="87" spans="1:41" s="58" customFormat="1" ht="17.25" x14ac:dyDescent="0.3">
      <c r="A87" s="70" t="s">
        <v>78</v>
      </c>
      <c r="B87" s="16"/>
      <c r="C87" s="21"/>
      <c r="D87" s="28"/>
      <c r="E87" s="3"/>
      <c r="F87" s="65"/>
      <c r="G87" s="65"/>
      <c r="H87" s="65">
        <f t="shared" si="27"/>
        <v>0</v>
      </c>
      <c r="I87" s="66"/>
      <c r="J87" s="66"/>
      <c r="K87" s="66">
        <f t="shared" si="28"/>
        <v>0</v>
      </c>
      <c r="L87" s="65"/>
      <c r="M87" s="65"/>
      <c r="N87" s="65">
        <f t="shared" si="29"/>
        <v>0</v>
      </c>
      <c r="O87" s="66"/>
      <c r="P87" s="66"/>
      <c r="Q87" s="66">
        <f t="shared" si="30"/>
        <v>0</v>
      </c>
      <c r="R87" s="65"/>
      <c r="S87" s="65"/>
      <c r="T87" s="65">
        <f t="shared" si="31"/>
        <v>0</v>
      </c>
      <c r="U87" s="66"/>
      <c r="V87" s="66"/>
      <c r="W87" s="66">
        <f t="shared" si="32"/>
        <v>0</v>
      </c>
      <c r="X87" s="65"/>
      <c r="Y87" s="65"/>
      <c r="Z87" s="65">
        <f t="shared" si="33"/>
        <v>0</v>
      </c>
      <c r="AA87" s="66"/>
      <c r="AB87" s="66"/>
      <c r="AC87" s="66">
        <f t="shared" si="34"/>
        <v>0</v>
      </c>
      <c r="AD87" s="65"/>
      <c r="AE87" s="65"/>
      <c r="AF87" s="65">
        <f t="shared" si="35"/>
        <v>0</v>
      </c>
      <c r="AG87" s="66"/>
      <c r="AH87" s="66"/>
      <c r="AI87" s="66">
        <f t="shared" si="36"/>
        <v>0</v>
      </c>
      <c r="AJ87" s="65"/>
      <c r="AK87" s="65"/>
      <c r="AL87" s="65">
        <f t="shared" si="37"/>
        <v>0</v>
      </c>
      <c r="AM87" s="66"/>
      <c r="AN87" s="66"/>
      <c r="AO87" s="66">
        <f t="shared" si="48"/>
        <v>0</v>
      </c>
    </row>
    <row r="88" spans="1:41" s="58" customFormat="1" ht="17.25" x14ac:dyDescent="0.3">
      <c r="A88" s="15" t="s">
        <v>34</v>
      </c>
      <c r="B88" s="16"/>
      <c r="C88" s="14">
        <f>H88+K88+N88+Q88+T88+W88+Z88+AC88+AF88+AI88+AL88+AO88</f>
        <v>0</v>
      </c>
      <c r="D88" s="28"/>
      <c r="E88" s="3"/>
      <c r="F88" s="132">
        <v>0</v>
      </c>
      <c r="G88" s="65"/>
      <c r="H88" s="65">
        <f t="shared" si="27"/>
        <v>0</v>
      </c>
      <c r="I88" s="132">
        <v>0</v>
      </c>
      <c r="J88" s="66"/>
      <c r="K88" s="66">
        <f t="shared" si="28"/>
        <v>0</v>
      </c>
      <c r="L88" s="65">
        <v>0</v>
      </c>
      <c r="M88" s="65"/>
      <c r="N88" s="65">
        <f t="shared" si="29"/>
        <v>0</v>
      </c>
      <c r="O88" s="132">
        <v>0</v>
      </c>
      <c r="P88" s="66"/>
      <c r="Q88" s="66">
        <f t="shared" si="30"/>
        <v>0</v>
      </c>
      <c r="R88" s="132">
        <v>0</v>
      </c>
      <c r="S88" s="65"/>
      <c r="T88" s="65">
        <f t="shared" si="31"/>
        <v>0</v>
      </c>
      <c r="U88" s="132">
        <v>0</v>
      </c>
      <c r="V88" s="66"/>
      <c r="W88" s="66">
        <f t="shared" si="32"/>
        <v>0</v>
      </c>
      <c r="X88" s="65"/>
      <c r="Y88" s="65"/>
      <c r="Z88" s="65">
        <f t="shared" si="33"/>
        <v>0</v>
      </c>
      <c r="AA88" s="66"/>
      <c r="AB88" s="66"/>
      <c r="AC88" s="66">
        <f t="shared" si="34"/>
        <v>0</v>
      </c>
      <c r="AD88" s="65"/>
      <c r="AE88" s="65"/>
      <c r="AF88" s="65">
        <f t="shared" si="35"/>
        <v>0</v>
      </c>
      <c r="AG88" s="66"/>
      <c r="AH88" s="66"/>
      <c r="AI88" s="66">
        <f t="shared" si="36"/>
        <v>0</v>
      </c>
      <c r="AJ88" s="65"/>
      <c r="AK88" s="65"/>
      <c r="AL88" s="65">
        <f t="shared" si="37"/>
        <v>0</v>
      </c>
      <c r="AM88" s="66"/>
      <c r="AN88" s="66"/>
      <c r="AO88" s="66">
        <f t="shared" si="48"/>
        <v>0</v>
      </c>
    </row>
    <row r="89" spans="1:41" s="58" customFormat="1" ht="17.25" x14ac:dyDescent="0.3">
      <c r="A89" s="71" t="s">
        <v>77</v>
      </c>
      <c r="B89" s="16"/>
      <c r="C89" s="17">
        <f>C88</f>
        <v>0</v>
      </c>
      <c r="D89" s="28"/>
      <c r="E89" s="3"/>
      <c r="F89" s="17">
        <f>F88</f>
        <v>0</v>
      </c>
      <c r="G89" s="17">
        <f t="shared" ref="G89:AO89" si="49">G88</f>
        <v>0</v>
      </c>
      <c r="H89" s="17">
        <f t="shared" si="49"/>
        <v>0</v>
      </c>
      <c r="I89" s="17">
        <f t="shared" si="49"/>
        <v>0</v>
      </c>
      <c r="J89" s="17">
        <f t="shared" si="49"/>
        <v>0</v>
      </c>
      <c r="K89" s="17">
        <f t="shared" si="49"/>
        <v>0</v>
      </c>
      <c r="L89" s="17">
        <f t="shared" si="49"/>
        <v>0</v>
      </c>
      <c r="M89" s="17">
        <f t="shared" si="49"/>
        <v>0</v>
      </c>
      <c r="N89" s="17">
        <f t="shared" si="49"/>
        <v>0</v>
      </c>
      <c r="O89" s="17">
        <f t="shared" si="49"/>
        <v>0</v>
      </c>
      <c r="P89" s="17">
        <f t="shared" si="49"/>
        <v>0</v>
      </c>
      <c r="Q89" s="17">
        <f t="shared" si="49"/>
        <v>0</v>
      </c>
      <c r="R89" s="17">
        <f t="shared" si="49"/>
        <v>0</v>
      </c>
      <c r="S89" s="17">
        <f t="shared" si="49"/>
        <v>0</v>
      </c>
      <c r="T89" s="17">
        <f t="shared" si="49"/>
        <v>0</v>
      </c>
      <c r="U89" s="17">
        <f t="shared" si="49"/>
        <v>0</v>
      </c>
      <c r="V89" s="17">
        <f t="shared" si="49"/>
        <v>0</v>
      </c>
      <c r="W89" s="17">
        <f t="shared" si="49"/>
        <v>0</v>
      </c>
      <c r="X89" s="17">
        <f t="shared" si="49"/>
        <v>0</v>
      </c>
      <c r="Y89" s="17">
        <f t="shared" si="49"/>
        <v>0</v>
      </c>
      <c r="Z89" s="17">
        <f t="shared" si="49"/>
        <v>0</v>
      </c>
      <c r="AA89" s="17">
        <f t="shared" si="49"/>
        <v>0</v>
      </c>
      <c r="AB89" s="17">
        <f t="shared" si="49"/>
        <v>0</v>
      </c>
      <c r="AC89" s="17">
        <f t="shared" si="49"/>
        <v>0</v>
      </c>
      <c r="AD89" s="17">
        <f t="shared" si="49"/>
        <v>0</v>
      </c>
      <c r="AE89" s="17">
        <f t="shared" si="49"/>
        <v>0</v>
      </c>
      <c r="AF89" s="17">
        <f t="shared" si="49"/>
        <v>0</v>
      </c>
      <c r="AG89" s="17">
        <f t="shared" si="49"/>
        <v>0</v>
      </c>
      <c r="AH89" s="17">
        <f t="shared" si="49"/>
        <v>0</v>
      </c>
      <c r="AI89" s="17">
        <f t="shared" si="49"/>
        <v>0</v>
      </c>
      <c r="AJ89" s="17">
        <f t="shared" si="49"/>
        <v>0</v>
      </c>
      <c r="AK89" s="17">
        <f t="shared" si="49"/>
        <v>0</v>
      </c>
      <c r="AL89" s="17">
        <f t="shared" si="49"/>
        <v>0</v>
      </c>
      <c r="AM89" s="17">
        <f t="shared" si="49"/>
        <v>0</v>
      </c>
      <c r="AN89" s="17">
        <f t="shared" si="49"/>
        <v>0</v>
      </c>
      <c r="AO89" s="17">
        <f t="shared" si="49"/>
        <v>0</v>
      </c>
    </row>
    <row r="90" spans="1:41" s="58" customFormat="1" ht="11.1" customHeight="1" x14ac:dyDescent="0.3">
      <c r="A90" s="15"/>
      <c r="B90" s="16"/>
      <c r="C90" s="24"/>
      <c r="D90" s="24"/>
      <c r="E90" s="3"/>
      <c r="F90" s="65"/>
      <c r="G90" s="65"/>
      <c r="H90" s="65"/>
      <c r="I90" s="66"/>
      <c r="J90" s="66"/>
      <c r="K90" s="66"/>
      <c r="L90" s="65"/>
      <c r="M90" s="65"/>
      <c r="N90" s="65"/>
      <c r="O90" s="66"/>
      <c r="P90" s="66"/>
      <c r="Q90" s="66"/>
      <c r="R90" s="65"/>
      <c r="S90" s="65"/>
      <c r="T90" s="65"/>
      <c r="U90" s="66"/>
      <c r="V90" s="66"/>
      <c r="W90" s="66"/>
      <c r="X90" s="65"/>
      <c r="Y90" s="65"/>
      <c r="Z90" s="65"/>
      <c r="AA90" s="66"/>
      <c r="AB90" s="66"/>
      <c r="AC90" s="66"/>
      <c r="AD90" s="65"/>
      <c r="AE90" s="65"/>
      <c r="AF90" s="65"/>
      <c r="AG90" s="66"/>
      <c r="AH90" s="66"/>
      <c r="AI90" s="66"/>
      <c r="AJ90" s="65"/>
      <c r="AK90" s="65"/>
      <c r="AL90" s="65"/>
      <c r="AM90" s="66"/>
      <c r="AN90" s="66"/>
      <c r="AO90" s="66"/>
    </row>
    <row r="91" spans="1:41" s="58" customFormat="1" ht="17.25" x14ac:dyDescent="0.3">
      <c r="A91" s="70" t="s">
        <v>79</v>
      </c>
      <c r="B91" s="16"/>
      <c r="C91" s="19"/>
      <c r="D91" s="24"/>
      <c r="E91" s="3"/>
      <c r="F91" s="65"/>
      <c r="G91" s="65"/>
      <c r="H91" s="65"/>
      <c r="I91" s="66"/>
      <c r="J91" s="66"/>
      <c r="K91" s="66"/>
      <c r="L91" s="65"/>
      <c r="M91" s="65"/>
      <c r="N91" s="65"/>
      <c r="O91" s="66"/>
      <c r="P91" s="66"/>
      <c r="Q91" s="66"/>
      <c r="R91" s="65"/>
      <c r="S91" s="65"/>
      <c r="T91" s="65"/>
      <c r="U91" s="66"/>
      <c r="V91" s="66"/>
      <c r="W91" s="66"/>
      <c r="X91" s="65"/>
      <c r="Y91" s="65"/>
      <c r="Z91" s="65"/>
      <c r="AA91" s="66"/>
      <c r="AB91" s="66"/>
      <c r="AC91" s="66"/>
      <c r="AD91" s="65"/>
      <c r="AE91" s="65"/>
      <c r="AF91" s="65"/>
      <c r="AG91" s="66"/>
      <c r="AH91" s="66"/>
      <c r="AI91" s="66"/>
      <c r="AJ91" s="65"/>
      <c r="AK91" s="65"/>
      <c r="AL91" s="65"/>
      <c r="AM91" s="66"/>
      <c r="AN91" s="66"/>
      <c r="AO91" s="66"/>
    </row>
    <row r="92" spans="1:41" s="58" customFormat="1" ht="17.25" x14ac:dyDescent="0.3">
      <c r="A92" s="68" t="s">
        <v>75</v>
      </c>
      <c r="B92" s="16"/>
      <c r="C92" s="14">
        <f>H92+K92+N92+Q92+T92+W92+Z92+AC92+AF92+AI92+AL92+AO92</f>
        <v>0</v>
      </c>
      <c r="D92" s="24"/>
      <c r="E92" s="3"/>
      <c r="F92" s="132">
        <v>0</v>
      </c>
      <c r="G92" s="65"/>
      <c r="H92" s="65">
        <f t="shared" si="27"/>
        <v>0</v>
      </c>
      <c r="I92" s="132"/>
      <c r="J92" s="66"/>
      <c r="K92" s="66">
        <f t="shared" si="28"/>
        <v>0</v>
      </c>
      <c r="L92" s="65">
        <v>0</v>
      </c>
      <c r="M92" s="65"/>
      <c r="N92" s="65">
        <f t="shared" si="29"/>
        <v>0</v>
      </c>
      <c r="O92" s="132">
        <v>0</v>
      </c>
      <c r="P92" s="66"/>
      <c r="Q92" s="66">
        <f t="shared" si="30"/>
        <v>0</v>
      </c>
      <c r="R92" s="132">
        <v>0</v>
      </c>
      <c r="S92" s="65"/>
      <c r="T92" s="65">
        <f t="shared" si="31"/>
        <v>0</v>
      </c>
      <c r="U92" s="132">
        <v>0</v>
      </c>
      <c r="V92" s="66"/>
      <c r="W92" s="66">
        <f t="shared" si="32"/>
        <v>0</v>
      </c>
      <c r="X92" s="65"/>
      <c r="Y92" s="65"/>
      <c r="Z92" s="65">
        <f t="shared" si="33"/>
        <v>0</v>
      </c>
      <c r="AA92" s="66"/>
      <c r="AB92" s="66"/>
      <c r="AC92" s="66">
        <f t="shared" si="34"/>
        <v>0</v>
      </c>
      <c r="AD92" s="65"/>
      <c r="AE92" s="65"/>
      <c r="AF92" s="65">
        <f t="shared" si="35"/>
        <v>0</v>
      </c>
      <c r="AG92" s="66"/>
      <c r="AH92" s="66"/>
      <c r="AI92" s="66">
        <f t="shared" si="36"/>
        <v>0</v>
      </c>
      <c r="AJ92" s="65"/>
      <c r="AK92" s="65"/>
      <c r="AL92" s="65">
        <f t="shared" si="37"/>
        <v>0</v>
      </c>
      <c r="AM92" s="66"/>
      <c r="AN92" s="66"/>
      <c r="AO92" s="66">
        <f t="shared" ref="AO92:AO95" si="50">AM92+AN92</f>
        <v>0</v>
      </c>
    </row>
    <row r="93" spans="1:41" s="58" customFormat="1" ht="17.25" x14ac:dyDescent="0.3">
      <c r="A93" s="15" t="s">
        <v>35</v>
      </c>
      <c r="B93" s="16"/>
      <c r="C93" s="14">
        <f>H93+K93+N93+Q93+T93+W93+Z93+AC93+AF93+AI93+AL93+AO93</f>
        <v>10984</v>
      </c>
      <c r="D93" s="24"/>
      <c r="E93" s="3"/>
      <c r="F93" s="132">
        <v>10239</v>
      </c>
      <c r="G93" s="65"/>
      <c r="H93" s="65">
        <f t="shared" si="27"/>
        <v>10239</v>
      </c>
      <c r="I93" s="132">
        <v>450</v>
      </c>
      <c r="J93" s="66"/>
      <c r="K93" s="66">
        <f t="shared" si="28"/>
        <v>450</v>
      </c>
      <c r="L93" s="65">
        <v>0</v>
      </c>
      <c r="M93" s="65"/>
      <c r="N93" s="65">
        <f t="shared" si="29"/>
        <v>0</v>
      </c>
      <c r="O93" s="132">
        <v>175</v>
      </c>
      <c r="P93" s="66"/>
      <c r="Q93" s="66">
        <f t="shared" si="30"/>
        <v>175</v>
      </c>
      <c r="R93" s="132">
        <v>120</v>
      </c>
      <c r="S93" s="65"/>
      <c r="T93" s="65">
        <f t="shared" si="31"/>
        <v>120</v>
      </c>
      <c r="U93" s="132">
        <v>0</v>
      </c>
      <c r="V93" s="66"/>
      <c r="W93" s="66">
        <f t="shared" si="32"/>
        <v>0</v>
      </c>
      <c r="X93" s="65">
        <v>0</v>
      </c>
      <c r="Y93" s="65"/>
      <c r="Z93" s="65">
        <f t="shared" si="33"/>
        <v>0</v>
      </c>
      <c r="AA93" s="66">
        <v>0</v>
      </c>
      <c r="AB93" s="66"/>
      <c r="AC93" s="66">
        <f t="shared" si="34"/>
        <v>0</v>
      </c>
      <c r="AD93" s="65"/>
      <c r="AE93" s="65"/>
      <c r="AF93" s="65">
        <f t="shared" si="35"/>
        <v>0</v>
      </c>
      <c r="AG93" s="66"/>
      <c r="AH93" s="66"/>
      <c r="AI93" s="66">
        <f t="shared" si="36"/>
        <v>0</v>
      </c>
      <c r="AJ93" s="65"/>
      <c r="AK93" s="65"/>
      <c r="AL93" s="65">
        <f t="shared" si="37"/>
        <v>0</v>
      </c>
      <c r="AM93" s="66"/>
      <c r="AN93" s="66"/>
      <c r="AO93" s="66">
        <f t="shared" si="50"/>
        <v>0</v>
      </c>
    </row>
    <row r="94" spans="1:41" s="58" customFormat="1" ht="17.25" x14ac:dyDescent="0.3">
      <c r="A94" s="68" t="s">
        <v>76</v>
      </c>
      <c r="B94" s="16"/>
      <c r="C94" s="14">
        <f>H94+K94+N94+Q94+T94+W94+Z94+AC94+AF94+AI94+AL94+AO94</f>
        <v>26686</v>
      </c>
      <c r="D94" s="24"/>
      <c r="E94" s="3"/>
      <c r="F94" s="132">
        <v>26686</v>
      </c>
      <c r="G94" s="65"/>
      <c r="H94" s="65">
        <f t="shared" si="27"/>
        <v>26686</v>
      </c>
      <c r="I94" s="132">
        <v>0</v>
      </c>
      <c r="J94" s="66"/>
      <c r="K94" s="66">
        <f t="shared" si="28"/>
        <v>0</v>
      </c>
      <c r="L94" s="65">
        <v>0</v>
      </c>
      <c r="M94" s="65"/>
      <c r="N94" s="65">
        <f t="shared" si="29"/>
        <v>0</v>
      </c>
      <c r="O94" s="132">
        <v>0</v>
      </c>
      <c r="P94" s="66"/>
      <c r="Q94" s="66">
        <f t="shared" si="30"/>
        <v>0</v>
      </c>
      <c r="R94" s="132">
        <v>0</v>
      </c>
      <c r="S94" s="65"/>
      <c r="T94" s="65">
        <f t="shared" si="31"/>
        <v>0</v>
      </c>
      <c r="U94" s="132">
        <v>0</v>
      </c>
      <c r="V94" s="66"/>
      <c r="W94" s="66">
        <f t="shared" si="32"/>
        <v>0</v>
      </c>
      <c r="X94" s="65"/>
      <c r="Y94" s="65"/>
      <c r="Z94" s="65">
        <f t="shared" si="33"/>
        <v>0</v>
      </c>
      <c r="AA94" s="66"/>
      <c r="AB94" s="66"/>
      <c r="AC94" s="66">
        <f t="shared" si="34"/>
        <v>0</v>
      </c>
      <c r="AD94" s="65"/>
      <c r="AE94" s="65"/>
      <c r="AF94" s="65">
        <f t="shared" si="35"/>
        <v>0</v>
      </c>
      <c r="AG94" s="66"/>
      <c r="AH94" s="66"/>
      <c r="AI94" s="66">
        <f t="shared" si="36"/>
        <v>0</v>
      </c>
      <c r="AJ94" s="65"/>
      <c r="AK94" s="65"/>
      <c r="AL94" s="65">
        <f t="shared" si="37"/>
        <v>0</v>
      </c>
      <c r="AM94" s="66"/>
      <c r="AN94" s="66"/>
      <c r="AO94" s="66">
        <f t="shared" si="50"/>
        <v>0</v>
      </c>
    </row>
    <row r="95" spans="1:41" s="58" customFormat="1" ht="18.95" customHeight="1" x14ac:dyDescent="0.3">
      <c r="A95" s="15" t="s">
        <v>36</v>
      </c>
      <c r="B95" s="16"/>
      <c r="C95" s="14">
        <f>H95+K95+N95+Q95+T95+W95+Z95+AC95+AF95+AI95+AL95+AO95</f>
        <v>103568</v>
      </c>
      <c r="D95" s="45"/>
      <c r="E95" s="3"/>
      <c r="F95" s="132">
        <f>187963+788162-1</f>
        <v>976124</v>
      </c>
      <c r="G95" s="120">
        <f>-74152-46046-9568-15878-788162</f>
        <v>-933806</v>
      </c>
      <c r="H95" s="65">
        <f t="shared" si="27"/>
        <v>42318</v>
      </c>
      <c r="I95" s="132">
        <v>61250</v>
      </c>
      <c r="J95" s="120"/>
      <c r="K95" s="66">
        <f t="shared" si="28"/>
        <v>61250</v>
      </c>
      <c r="L95" s="65">
        <v>0</v>
      </c>
      <c r="M95" s="65"/>
      <c r="N95" s="65">
        <f t="shared" si="29"/>
        <v>0</v>
      </c>
      <c r="O95" s="132">
        <v>33060</v>
      </c>
      <c r="P95" s="120">
        <v>-33060</v>
      </c>
      <c r="Q95" s="66">
        <f t="shared" si="30"/>
        <v>0</v>
      </c>
      <c r="R95" s="132">
        <v>317000</v>
      </c>
      <c r="S95" s="120">
        <f>-217000-100000</f>
        <v>-317000</v>
      </c>
      <c r="T95" s="65">
        <f t="shared" si="31"/>
        <v>0</v>
      </c>
      <c r="U95" s="132">
        <v>0</v>
      </c>
      <c r="V95" s="120">
        <v>0</v>
      </c>
      <c r="W95" s="66">
        <f t="shared" si="32"/>
        <v>0</v>
      </c>
      <c r="X95" s="132">
        <v>0</v>
      </c>
      <c r="Y95" s="65"/>
      <c r="Z95" s="65">
        <f t="shared" si="33"/>
        <v>0</v>
      </c>
      <c r="AA95" s="66">
        <v>0</v>
      </c>
      <c r="AB95" s="66"/>
      <c r="AC95" s="66">
        <f t="shared" si="34"/>
        <v>0</v>
      </c>
      <c r="AD95" s="65"/>
      <c r="AE95" s="65"/>
      <c r="AF95" s="65">
        <f t="shared" si="35"/>
        <v>0</v>
      </c>
      <c r="AG95" s="66"/>
      <c r="AH95" s="66"/>
      <c r="AI95" s="66">
        <f t="shared" si="36"/>
        <v>0</v>
      </c>
      <c r="AJ95" s="65"/>
      <c r="AK95" s="97"/>
      <c r="AL95" s="65">
        <f t="shared" si="37"/>
        <v>0</v>
      </c>
      <c r="AM95" s="66"/>
      <c r="AN95" s="66"/>
      <c r="AO95" s="66">
        <f t="shared" si="50"/>
        <v>0</v>
      </c>
    </row>
    <row r="96" spans="1:41" s="58" customFormat="1" ht="18.95" customHeight="1" x14ac:dyDescent="0.3">
      <c r="A96" s="70" t="s">
        <v>80</v>
      </c>
      <c r="B96" s="16"/>
      <c r="C96" s="28">
        <f>SUM(C92:C95)</f>
        <v>141238</v>
      </c>
      <c r="D96" s="28"/>
      <c r="E96" s="3"/>
      <c r="F96" s="28">
        <f>SUM(F92:F95)</f>
        <v>1013049</v>
      </c>
      <c r="G96" s="28">
        <f>SUM(G92:G95)</f>
        <v>-933806</v>
      </c>
      <c r="H96" s="28">
        <f>SUM(H92:H95)</f>
        <v>79243</v>
      </c>
      <c r="I96" s="28">
        <f t="shared" ref="I96:AO96" si="51">SUM(I92:I95)</f>
        <v>61700</v>
      </c>
      <c r="J96" s="28">
        <f t="shared" si="51"/>
        <v>0</v>
      </c>
      <c r="K96" s="28">
        <f t="shared" si="51"/>
        <v>61700</v>
      </c>
      <c r="L96" s="28">
        <f t="shared" si="51"/>
        <v>0</v>
      </c>
      <c r="M96" s="28">
        <f t="shared" si="51"/>
        <v>0</v>
      </c>
      <c r="N96" s="28">
        <f t="shared" si="51"/>
        <v>0</v>
      </c>
      <c r="O96" s="28">
        <f t="shared" si="51"/>
        <v>33235</v>
      </c>
      <c r="P96" s="28">
        <f t="shared" si="51"/>
        <v>-33060</v>
      </c>
      <c r="Q96" s="28">
        <f t="shared" si="51"/>
        <v>175</v>
      </c>
      <c r="R96" s="28">
        <f t="shared" si="51"/>
        <v>317120</v>
      </c>
      <c r="S96" s="28">
        <f t="shared" si="51"/>
        <v>-317000</v>
      </c>
      <c r="T96" s="28">
        <f t="shared" si="51"/>
        <v>120</v>
      </c>
      <c r="U96" s="28">
        <f t="shared" si="51"/>
        <v>0</v>
      </c>
      <c r="V96" s="28">
        <f t="shared" si="51"/>
        <v>0</v>
      </c>
      <c r="W96" s="28">
        <f t="shared" si="51"/>
        <v>0</v>
      </c>
      <c r="X96" s="28">
        <f t="shared" si="51"/>
        <v>0</v>
      </c>
      <c r="Y96" s="28">
        <f t="shared" si="51"/>
        <v>0</v>
      </c>
      <c r="Z96" s="28">
        <f t="shared" si="51"/>
        <v>0</v>
      </c>
      <c r="AA96" s="28">
        <f t="shared" si="51"/>
        <v>0</v>
      </c>
      <c r="AB96" s="28">
        <f t="shared" si="51"/>
        <v>0</v>
      </c>
      <c r="AC96" s="28">
        <f t="shared" si="51"/>
        <v>0</v>
      </c>
      <c r="AD96" s="28">
        <f t="shared" si="51"/>
        <v>0</v>
      </c>
      <c r="AE96" s="28">
        <f t="shared" si="51"/>
        <v>0</v>
      </c>
      <c r="AF96" s="28">
        <f t="shared" si="51"/>
        <v>0</v>
      </c>
      <c r="AG96" s="28">
        <f t="shared" si="51"/>
        <v>0</v>
      </c>
      <c r="AH96" s="28">
        <f t="shared" si="51"/>
        <v>0</v>
      </c>
      <c r="AI96" s="28">
        <f t="shared" si="51"/>
        <v>0</v>
      </c>
      <c r="AJ96" s="28">
        <f t="shared" si="51"/>
        <v>0</v>
      </c>
      <c r="AK96" s="28">
        <f t="shared" si="51"/>
        <v>0</v>
      </c>
      <c r="AL96" s="28">
        <f t="shared" si="51"/>
        <v>0</v>
      </c>
      <c r="AM96" s="28">
        <f t="shared" si="51"/>
        <v>0</v>
      </c>
      <c r="AN96" s="28">
        <f t="shared" si="51"/>
        <v>0</v>
      </c>
      <c r="AO96" s="28">
        <f t="shared" si="51"/>
        <v>0</v>
      </c>
    </row>
    <row r="97" spans="1:42" s="58" customFormat="1" ht="18.95" customHeight="1" x14ac:dyDescent="0.3">
      <c r="A97" s="70" t="s">
        <v>81</v>
      </c>
      <c r="B97" s="16"/>
      <c r="C97" s="72">
        <f>C89+C96</f>
        <v>141238</v>
      </c>
      <c r="D97" s="28"/>
      <c r="E97" s="3"/>
      <c r="F97" s="72">
        <f>F89+F96</f>
        <v>1013049</v>
      </c>
      <c r="G97" s="72">
        <f t="shared" ref="G97:AO97" si="52">G89+G96</f>
        <v>-933806</v>
      </c>
      <c r="H97" s="72">
        <f t="shared" si="52"/>
        <v>79243</v>
      </c>
      <c r="I97" s="72">
        <f t="shared" si="52"/>
        <v>61700</v>
      </c>
      <c r="J97" s="72">
        <f t="shared" si="52"/>
        <v>0</v>
      </c>
      <c r="K97" s="72">
        <f t="shared" si="52"/>
        <v>61700</v>
      </c>
      <c r="L97" s="72">
        <f t="shared" si="52"/>
        <v>0</v>
      </c>
      <c r="M97" s="72">
        <f t="shared" si="52"/>
        <v>0</v>
      </c>
      <c r="N97" s="72">
        <f t="shared" si="52"/>
        <v>0</v>
      </c>
      <c r="O97" s="72">
        <f t="shared" si="52"/>
        <v>33235</v>
      </c>
      <c r="P97" s="72">
        <f t="shared" si="52"/>
        <v>-33060</v>
      </c>
      <c r="Q97" s="72">
        <f t="shared" si="52"/>
        <v>175</v>
      </c>
      <c r="R97" s="72">
        <f t="shared" si="52"/>
        <v>317120</v>
      </c>
      <c r="S97" s="72">
        <f t="shared" si="52"/>
        <v>-317000</v>
      </c>
      <c r="T97" s="72">
        <f t="shared" si="52"/>
        <v>120</v>
      </c>
      <c r="U97" s="72">
        <f t="shared" si="52"/>
        <v>0</v>
      </c>
      <c r="V97" s="72">
        <f t="shared" si="52"/>
        <v>0</v>
      </c>
      <c r="W97" s="72">
        <f t="shared" si="52"/>
        <v>0</v>
      </c>
      <c r="X97" s="72">
        <f t="shared" si="52"/>
        <v>0</v>
      </c>
      <c r="Y97" s="72">
        <f t="shared" si="52"/>
        <v>0</v>
      </c>
      <c r="Z97" s="72">
        <f t="shared" si="52"/>
        <v>0</v>
      </c>
      <c r="AA97" s="72">
        <f t="shared" si="52"/>
        <v>0</v>
      </c>
      <c r="AB97" s="72">
        <f t="shared" si="52"/>
        <v>0</v>
      </c>
      <c r="AC97" s="72">
        <f t="shared" si="52"/>
        <v>0</v>
      </c>
      <c r="AD97" s="72">
        <f t="shared" si="52"/>
        <v>0</v>
      </c>
      <c r="AE97" s="72">
        <f t="shared" si="52"/>
        <v>0</v>
      </c>
      <c r="AF97" s="72">
        <f t="shared" si="52"/>
        <v>0</v>
      </c>
      <c r="AG97" s="72">
        <f t="shared" si="52"/>
        <v>0</v>
      </c>
      <c r="AH97" s="72">
        <f t="shared" si="52"/>
        <v>0</v>
      </c>
      <c r="AI97" s="72">
        <f t="shared" si="52"/>
        <v>0</v>
      </c>
      <c r="AJ97" s="72">
        <f t="shared" si="52"/>
        <v>0</v>
      </c>
      <c r="AK97" s="72">
        <f t="shared" si="52"/>
        <v>0</v>
      </c>
      <c r="AL97" s="72">
        <f t="shared" si="52"/>
        <v>0</v>
      </c>
      <c r="AM97" s="72">
        <f t="shared" si="52"/>
        <v>0</v>
      </c>
      <c r="AN97" s="72">
        <f t="shared" si="52"/>
        <v>0</v>
      </c>
      <c r="AO97" s="72">
        <f t="shared" si="52"/>
        <v>0</v>
      </c>
      <c r="AP97" s="3"/>
    </row>
    <row r="98" spans="1:42" s="58" customFormat="1" ht="18.95" customHeight="1" x14ac:dyDescent="0.3">
      <c r="A98" s="4"/>
      <c r="B98" s="16"/>
      <c r="C98" s="28"/>
      <c r="D98" s="28"/>
      <c r="E98" s="3"/>
      <c r="F98" s="28"/>
      <c r="G98" s="65"/>
      <c r="H98" s="65"/>
      <c r="I98" s="66"/>
      <c r="J98" s="66"/>
      <c r="K98" s="66"/>
      <c r="L98" s="65"/>
      <c r="M98" s="65"/>
      <c r="N98" s="65"/>
      <c r="O98" s="66"/>
      <c r="P98" s="66"/>
      <c r="Q98" s="66"/>
      <c r="R98" s="65"/>
      <c r="S98" s="65"/>
      <c r="T98" s="65"/>
      <c r="U98" s="66"/>
      <c r="V98" s="66"/>
      <c r="W98" s="66"/>
      <c r="X98" s="65"/>
      <c r="Y98" s="65"/>
      <c r="Z98" s="65"/>
      <c r="AA98" s="66"/>
      <c r="AB98" s="66"/>
      <c r="AC98" s="66"/>
      <c r="AD98" s="65"/>
      <c r="AE98" s="65"/>
      <c r="AF98" s="65"/>
      <c r="AG98" s="66"/>
      <c r="AH98" s="66"/>
      <c r="AI98" s="66"/>
      <c r="AJ98" s="65"/>
      <c r="AK98" s="65"/>
      <c r="AL98" s="65"/>
      <c r="AM98" s="66"/>
      <c r="AN98" s="66"/>
      <c r="AO98" s="66"/>
      <c r="AP98" s="3"/>
    </row>
    <row r="99" spans="1:42" s="58" customFormat="1" ht="18.95" customHeight="1" thickBot="1" x14ac:dyDescent="0.35">
      <c r="A99" s="4" t="s">
        <v>37</v>
      </c>
      <c r="B99" s="16"/>
      <c r="C99" s="17">
        <f>C84+C97</f>
        <v>3788801</v>
      </c>
      <c r="D99" s="28"/>
      <c r="E99" s="3"/>
      <c r="F99" s="17">
        <f>F84+F97</f>
        <v>2605822</v>
      </c>
      <c r="G99" s="17">
        <f t="shared" ref="G99:AO99" si="53">G84+G97</f>
        <v>-933806</v>
      </c>
      <c r="H99" s="17">
        <f t="shared" si="53"/>
        <v>1672016</v>
      </c>
      <c r="I99" s="17">
        <f t="shared" si="53"/>
        <v>366227</v>
      </c>
      <c r="J99" s="17">
        <f t="shared" si="53"/>
        <v>0</v>
      </c>
      <c r="K99" s="17">
        <f t="shared" si="53"/>
        <v>366227</v>
      </c>
      <c r="L99" s="17">
        <f t="shared" si="53"/>
        <v>0</v>
      </c>
      <c r="M99" s="17">
        <f t="shared" si="53"/>
        <v>0</v>
      </c>
      <c r="N99" s="17">
        <f t="shared" si="53"/>
        <v>0</v>
      </c>
      <c r="O99" s="17">
        <f t="shared" si="53"/>
        <v>454735</v>
      </c>
      <c r="P99" s="17">
        <f t="shared" si="53"/>
        <v>-33060</v>
      </c>
      <c r="Q99" s="17">
        <f t="shared" si="53"/>
        <v>421675</v>
      </c>
      <c r="R99" s="17">
        <f t="shared" si="53"/>
        <v>1399839</v>
      </c>
      <c r="S99" s="17">
        <f t="shared" si="53"/>
        <v>-317000</v>
      </c>
      <c r="T99" s="17">
        <f t="shared" si="53"/>
        <v>1082839</v>
      </c>
      <c r="U99" s="17">
        <f t="shared" si="53"/>
        <v>64454</v>
      </c>
      <c r="V99" s="17">
        <f t="shared" si="53"/>
        <v>0</v>
      </c>
      <c r="W99" s="17">
        <f t="shared" si="53"/>
        <v>64454</v>
      </c>
      <c r="X99" s="17">
        <f t="shared" si="53"/>
        <v>94656</v>
      </c>
      <c r="Y99" s="17">
        <f t="shared" si="53"/>
        <v>0</v>
      </c>
      <c r="Z99" s="17">
        <f t="shared" si="53"/>
        <v>94656</v>
      </c>
      <c r="AA99" s="17">
        <f t="shared" si="53"/>
        <v>80582</v>
      </c>
      <c r="AB99" s="17">
        <f t="shared" si="53"/>
        <v>0</v>
      </c>
      <c r="AC99" s="17">
        <f t="shared" si="53"/>
        <v>80582</v>
      </c>
      <c r="AD99" s="17">
        <f t="shared" si="53"/>
        <v>6352</v>
      </c>
      <c r="AE99" s="17">
        <f t="shared" si="53"/>
        <v>0</v>
      </c>
      <c r="AF99" s="17">
        <f t="shared" si="53"/>
        <v>6352</v>
      </c>
      <c r="AG99" s="17">
        <f t="shared" si="53"/>
        <v>0</v>
      </c>
      <c r="AH99" s="17">
        <f t="shared" si="53"/>
        <v>0</v>
      </c>
      <c r="AI99" s="17">
        <f t="shared" si="53"/>
        <v>0</v>
      </c>
      <c r="AJ99" s="17">
        <f t="shared" si="53"/>
        <v>0</v>
      </c>
      <c r="AK99" s="17">
        <f t="shared" si="53"/>
        <v>0</v>
      </c>
      <c r="AL99" s="17">
        <f t="shared" si="53"/>
        <v>0</v>
      </c>
      <c r="AM99" s="17">
        <f t="shared" si="53"/>
        <v>0</v>
      </c>
      <c r="AN99" s="17">
        <f t="shared" si="53"/>
        <v>0</v>
      </c>
      <c r="AO99" s="17">
        <f t="shared" si="53"/>
        <v>0</v>
      </c>
      <c r="AP99" s="3"/>
    </row>
    <row r="100" spans="1:42" s="58" customFormat="1" ht="15.75" thickTop="1" x14ac:dyDescent="0.2">
      <c r="A100" s="3"/>
      <c r="B100" s="3"/>
      <c r="C100" s="73">
        <f>C74-C99</f>
        <v>0</v>
      </c>
      <c r="D100" s="50"/>
      <c r="E100" s="3"/>
      <c r="F100" s="73">
        <f>F74-F99</f>
        <v>0</v>
      </c>
      <c r="G100" s="73">
        <f t="shared" ref="G100:AO100" si="54">G74-G99</f>
        <v>800746</v>
      </c>
      <c r="H100" s="73">
        <f t="shared" si="54"/>
        <v>800746</v>
      </c>
      <c r="I100" s="73">
        <f t="shared" si="54"/>
        <v>0</v>
      </c>
      <c r="J100" s="73">
        <f t="shared" si="54"/>
        <v>-46046</v>
      </c>
      <c r="K100" s="73">
        <f t="shared" si="54"/>
        <v>-46046</v>
      </c>
      <c r="L100" s="73">
        <f t="shared" si="54"/>
        <v>0</v>
      </c>
      <c r="M100" s="73">
        <f t="shared" si="54"/>
        <v>0</v>
      </c>
      <c r="N100" s="73">
        <f t="shared" si="54"/>
        <v>0</v>
      </c>
      <c r="O100" s="73">
        <f t="shared" si="54"/>
        <v>0</v>
      </c>
      <c r="P100" s="73">
        <f t="shared" si="54"/>
        <v>-258092</v>
      </c>
      <c r="Q100" s="73">
        <f t="shared" si="54"/>
        <v>-258092</v>
      </c>
      <c r="R100" s="73">
        <f t="shared" si="54"/>
        <v>0</v>
      </c>
      <c r="S100" s="73">
        <f t="shared" si="54"/>
        <v>-471162</v>
      </c>
      <c r="T100" s="73">
        <f t="shared" si="54"/>
        <v>-471162</v>
      </c>
      <c r="U100" s="73">
        <f t="shared" si="54"/>
        <v>0</v>
      </c>
      <c r="V100" s="73">
        <f t="shared" si="54"/>
        <v>-9568</v>
      </c>
      <c r="W100" s="73">
        <f t="shared" si="54"/>
        <v>-9568</v>
      </c>
      <c r="X100" s="73">
        <f t="shared" si="54"/>
        <v>0</v>
      </c>
      <c r="Y100" s="73">
        <f t="shared" si="54"/>
        <v>0</v>
      </c>
      <c r="Z100" s="73">
        <f t="shared" si="54"/>
        <v>0</v>
      </c>
      <c r="AA100" s="73">
        <f t="shared" si="54"/>
        <v>0</v>
      </c>
      <c r="AB100" s="73">
        <f t="shared" si="54"/>
        <v>-15878</v>
      </c>
      <c r="AC100" s="73">
        <f t="shared" si="54"/>
        <v>-15878</v>
      </c>
      <c r="AD100" s="73">
        <f t="shared" si="54"/>
        <v>0</v>
      </c>
      <c r="AE100" s="73">
        <f t="shared" si="54"/>
        <v>0</v>
      </c>
      <c r="AF100" s="73">
        <f t="shared" si="54"/>
        <v>0</v>
      </c>
      <c r="AG100" s="73">
        <f t="shared" si="54"/>
        <v>0</v>
      </c>
      <c r="AH100" s="73">
        <f t="shared" si="54"/>
        <v>0</v>
      </c>
      <c r="AI100" s="73">
        <f t="shared" si="54"/>
        <v>0</v>
      </c>
      <c r="AJ100" s="73">
        <f t="shared" si="54"/>
        <v>0</v>
      </c>
      <c r="AK100" s="73">
        <f t="shared" si="54"/>
        <v>0</v>
      </c>
      <c r="AL100" s="73">
        <f t="shared" si="54"/>
        <v>0</v>
      </c>
      <c r="AM100" s="73">
        <f t="shared" si="54"/>
        <v>0</v>
      </c>
      <c r="AN100" s="73">
        <f t="shared" si="54"/>
        <v>0</v>
      </c>
      <c r="AO100" s="73">
        <f t="shared" si="54"/>
        <v>0</v>
      </c>
      <c r="AP100" s="51"/>
    </row>
    <row r="101" spans="1:42" s="58" customFormat="1" x14ac:dyDescent="0.2">
      <c r="A101" s="3"/>
      <c r="B101" s="3"/>
      <c r="C101" s="50"/>
      <c r="D101" s="50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 t="s">
        <v>163</v>
      </c>
      <c r="AO101" s="51">
        <f>SUM(F100:AO100)</f>
        <v>0</v>
      </c>
      <c r="AP101" s="3"/>
    </row>
    <row r="102" spans="1:42" s="58" customFormat="1" x14ac:dyDescent="0.2">
      <c r="A102" s="3"/>
      <c r="B102" s="3"/>
      <c r="C102" s="51"/>
      <c r="D102" s="52"/>
      <c r="E102" s="3"/>
      <c r="F102" s="3"/>
      <c r="G102" s="51">
        <f>SUM(G100)</f>
        <v>800746</v>
      </c>
      <c r="H102" s="51"/>
      <c r="I102" s="51"/>
      <c r="J102" s="51">
        <f t="shared" ref="J102:AB102" si="55">SUM(J100)</f>
        <v>-46046</v>
      </c>
      <c r="K102" s="51"/>
      <c r="L102" s="51"/>
      <c r="M102" s="51">
        <f t="shared" si="55"/>
        <v>0</v>
      </c>
      <c r="N102" s="51"/>
      <c r="O102" s="51"/>
      <c r="P102" s="51">
        <f t="shared" si="55"/>
        <v>-258092</v>
      </c>
      <c r="Q102" s="51"/>
      <c r="R102" s="51"/>
      <c r="S102" s="51">
        <f t="shared" si="55"/>
        <v>-471162</v>
      </c>
      <c r="T102" s="51"/>
      <c r="U102" s="51"/>
      <c r="V102" s="51">
        <f t="shared" si="55"/>
        <v>-9568</v>
      </c>
      <c r="W102" s="51"/>
      <c r="X102" s="51"/>
      <c r="Y102" s="51">
        <f t="shared" si="55"/>
        <v>0</v>
      </c>
      <c r="Z102" s="51"/>
      <c r="AA102" s="51"/>
      <c r="AB102" s="51">
        <f t="shared" si="55"/>
        <v>-15878</v>
      </c>
      <c r="AC102" s="51"/>
      <c r="AD102" s="3"/>
      <c r="AE102" s="51">
        <f t="shared" ref="AE102" si="56">SUM(AE100)</f>
        <v>0</v>
      </c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2" s="58" customFormat="1" x14ac:dyDescent="0.2">
      <c r="A103" s="15" t="s">
        <v>165</v>
      </c>
      <c r="B103" s="153"/>
      <c r="C103" s="153"/>
      <c r="D103" s="56"/>
      <c r="E103" s="51"/>
      <c r="F103" s="51">
        <f>SUM(G102:AE102)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 s="58" customFormat="1" x14ac:dyDescent="0.2">
      <c r="A104" s="15" t="s">
        <v>166</v>
      </c>
      <c r="B104" s="3"/>
      <c r="C104" s="15"/>
      <c r="D104" s="12"/>
      <c r="E104" s="3"/>
      <c r="F104" s="3"/>
      <c r="G104" s="3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 s="58" customFormat="1" x14ac:dyDescent="0.2">
      <c r="A105" s="15"/>
      <c r="B105" s="3"/>
      <c r="C105" s="15"/>
      <c r="D105" s="12"/>
      <c r="E105" s="3"/>
      <c r="F105" s="51"/>
      <c r="G105" s="3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1:42" s="58" customFormat="1" x14ac:dyDescent="0.2">
      <c r="A106" s="15"/>
      <c r="B106" s="3"/>
      <c r="C106" s="15"/>
      <c r="D106" s="1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2" s="58" customFormat="1" x14ac:dyDescent="0.2">
      <c r="A107" s="15"/>
      <c r="B107" s="3"/>
      <c r="C107" s="15"/>
      <c r="D107" s="1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1:42" s="58" customFormat="1" ht="15.75" x14ac:dyDescent="0.25">
      <c r="A108" s="71" t="s">
        <v>130</v>
      </c>
      <c r="B108" s="3"/>
      <c r="C108" s="15"/>
      <c r="D108" s="1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1:42" s="58" customFormat="1" x14ac:dyDescent="0.2">
      <c r="A109" s="15" t="s">
        <v>131</v>
      </c>
      <c r="B109" s="153"/>
      <c r="C109" s="102">
        <f>F109+I109+L109+O109+R109+U109+X109+AA109+AD109+AG109+AJ109+AM109</f>
        <v>303972.53000000003</v>
      </c>
      <c r="D109" s="56"/>
      <c r="E109" s="3"/>
      <c r="F109" s="3">
        <f>303972.53</f>
        <v>303972.53000000003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1:42" s="58" customFormat="1" x14ac:dyDescent="0.2">
      <c r="A110" s="15" t="s">
        <v>132</v>
      </c>
      <c r="B110" s="153"/>
      <c r="C110" s="102">
        <f>F110+I110+L110+O110+R110+U110+X110+AA110+AD110+AG110+AJ110+AM110</f>
        <v>0</v>
      </c>
      <c r="D110" s="56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1:42" s="58" customFormat="1" x14ac:dyDescent="0.2">
      <c r="A111" s="15" t="s">
        <v>133</v>
      </c>
      <c r="B111" s="153"/>
      <c r="C111" s="102">
        <f t="shared" ref="C111:C123" si="57">F111+I111+L111+O111+R111+U111+X111+AA111+AD111+AG111+AJ111+AM111</f>
        <v>11550</v>
      </c>
      <c r="D111" s="56"/>
      <c r="E111" s="3"/>
      <c r="F111" s="3">
        <f>11550</f>
        <v>11550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1:42" s="58" customFormat="1" x14ac:dyDescent="0.2">
      <c r="A112" s="15" t="s">
        <v>134</v>
      </c>
      <c r="B112" s="153"/>
      <c r="C112" s="102">
        <f t="shared" si="57"/>
        <v>10605</v>
      </c>
      <c r="D112" s="56"/>
      <c r="E112" s="3"/>
      <c r="F112" s="3">
        <f>10605</f>
        <v>10605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1:27" s="58" customFormat="1" x14ac:dyDescent="0.2">
      <c r="A113" s="15" t="s">
        <v>146</v>
      </c>
      <c r="B113" s="153"/>
      <c r="C113" s="102">
        <f t="shared" si="57"/>
        <v>0</v>
      </c>
      <c r="D113" s="56"/>
    </row>
    <row r="114" spans="1:27" s="58" customFormat="1" x14ac:dyDescent="0.2">
      <c r="A114" s="15" t="s">
        <v>180</v>
      </c>
      <c r="B114" s="153"/>
      <c r="C114" s="102">
        <f t="shared" si="57"/>
        <v>-33060</v>
      </c>
      <c r="D114" s="56"/>
      <c r="F114" s="58">
        <v>-33060</v>
      </c>
    </row>
    <row r="115" spans="1:27" s="58" customFormat="1" x14ac:dyDescent="0.2">
      <c r="A115" s="15" t="s">
        <v>135</v>
      </c>
      <c r="B115" s="153"/>
      <c r="C115" s="102">
        <f t="shared" si="57"/>
        <v>54096</v>
      </c>
      <c r="D115" s="56"/>
      <c r="I115" s="58">
        <v>40846</v>
      </c>
      <c r="O115" s="58">
        <v>13250</v>
      </c>
      <c r="R115" s="58">
        <v>0</v>
      </c>
    </row>
    <row r="116" spans="1:27" s="58" customFormat="1" x14ac:dyDescent="0.2">
      <c r="A116" s="15" t="s">
        <v>136</v>
      </c>
      <c r="B116" s="153"/>
      <c r="C116" s="102">
        <f t="shared" si="57"/>
        <v>104675</v>
      </c>
      <c r="D116" s="56"/>
      <c r="F116" s="58">
        <f>9000+8500+3500+5500+1000+1500+1000+30615</f>
        <v>60615</v>
      </c>
      <c r="O116" s="58">
        <v>36060</v>
      </c>
      <c r="U116" s="58">
        <v>0</v>
      </c>
      <c r="X116" s="58">
        <v>0</v>
      </c>
      <c r="AA116" s="58">
        <v>8000</v>
      </c>
    </row>
    <row r="117" spans="1:27" s="58" customFormat="1" x14ac:dyDescent="0.2">
      <c r="A117" s="15" t="s">
        <v>143</v>
      </c>
      <c r="B117" s="153"/>
      <c r="C117" s="102">
        <f t="shared" si="57"/>
        <v>39957.26</v>
      </c>
      <c r="D117" s="56"/>
      <c r="F117" s="58">
        <v>39957.26</v>
      </c>
    </row>
    <row r="118" spans="1:27" s="58" customFormat="1" x14ac:dyDescent="0.2">
      <c r="A118" s="15" t="s">
        <v>140</v>
      </c>
      <c r="B118" s="153"/>
      <c r="C118" s="102">
        <f t="shared" si="57"/>
        <v>23424</v>
      </c>
      <c r="D118" s="56"/>
      <c r="F118" s="58">
        <f>21062.62+2361.38</f>
        <v>23424</v>
      </c>
    </row>
    <row r="119" spans="1:27" s="58" customFormat="1" x14ac:dyDescent="0.2">
      <c r="A119" s="15" t="s">
        <v>137</v>
      </c>
      <c r="B119" s="153"/>
      <c r="C119" s="102">
        <f t="shared" si="57"/>
        <v>9033</v>
      </c>
      <c r="D119" s="56"/>
      <c r="O119" s="58">
        <v>9033</v>
      </c>
    </row>
    <row r="120" spans="1:27" s="58" customFormat="1" x14ac:dyDescent="0.2">
      <c r="A120" s="15" t="s">
        <v>138</v>
      </c>
      <c r="B120" s="153"/>
      <c r="C120" s="102">
        <f t="shared" si="57"/>
        <v>125113</v>
      </c>
      <c r="D120" s="56"/>
      <c r="O120" s="58">
        <v>125113</v>
      </c>
    </row>
    <row r="121" spans="1:27" s="58" customFormat="1" x14ac:dyDescent="0.2">
      <c r="A121" s="15" t="s">
        <v>144</v>
      </c>
      <c r="B121" s="153"/>
      <c r="C121" s="102">
        <f t="shared" si="57"/>
        <v>0</v>
      </c>
      <c r="D121" s="56"/>
    </row>
    <row r="122" spans="1:27" s="58" customFormat="1" x14ac:dyDescent="0.2">
      <c r="A122" s="15" t="s">
        <v>139</v>
      </c>
      <c r="B122" s="2"/>
      <c r="C122" s="102">
        <f t="shared" si="57"/>
        <v>0</v>
      </c>
      <c r="D122" s="57"/>
      <c r="R122" s="58">
        <v>0</v>
      </c>
    </row>
    <row r="123" spans="1:27" s="58" customFormat="1" x14ac:dyDescent="0.2">
      <c r="A123" s="15" t="s">
        <v>141</v>
      </c>
      <c r="B123" s="2"/>
      <c r="C123" s="102">
        <f t="shared" si="57"/>
        <v>25300.210000000003</v>
      </c>
      <c r="D123" s="57"/>
      <c r="F123" s="58">
        <f>2545.9+22754+0.31</f>
        <v>25300.210000000003</v>
      </c>
      <c r="I123" s="58">
        <v>0</v>
      </c>
      <c r="O123" s="58">
        <v>0</v>
      </c>
    </row>
    <row r="124" spans="1:27" s="58" customFormat="1" x14ac:dyDescent="0.2">
      <c r="A124" s="3"/>
      <c r="B124" s="2"/>
      <c r="C124" s="103"/>
      <c r="D124" s="57"/>
    </row>
    <row r="125" spans="1:27" s="58" customFormat="1" x14ac:dyDescent="0.2">
      <c r="A125" s="3" t="s">
        <v>142</v>
      </c>
      <c r="B125" s="2"/>
      <c r="C125" s="103">
        <f>SUM(C109:C124)</f>
        <v>674666</v>
      </c>
      <c r="D125" s="57"/>
      <c r="F125" s="103">
        <f>SUM(F109:F124)</f>
        <v>442364.00000000006</v>
      </c>
      <c r="I125" s="103"/>
      <c r="O125" s="103"/>
      <c r="R125" s="103"/>
    </row>
    <row r="126" spans="1:27" s="58" customFormat="1" x14ac:dyDescent="0.2">
      <c r="A126" s="3"/>
      <c r="B126" s="2"/>
      <c r="C126" s="2"/>
      <c r="D126" s="57"/>
    </row>
    <row r="127" spans="1:27" s="58" customFormat="1" x14ac:dyDescent="0.2">
      <c r="A127" s="3"/>
      <c r="B127" s="2"/>
      <c r="C127" s="2"/>
      <c r="D127" s="57"/>
    </row>
    <row r="128" spans="1:27" s="58" customFormat="1" x14ac:dyDescent="0.2">
      <c r="A128" s="3"/>
      <c r="B128" s="2"/>
      <c r="C128" s="2"/>
      <c r="D128" s="57"/>
    </row>
    <row r="129" spans="1:27" s="58" customFormat="1" x14ac:dyDescent="0.2">
      <c r="A129" s="3" t="s">
        <v>155</v>
      </c>
      <c r="B129" s="2"/>
      <c r="C129" s="102">
        <f>F129+I129+L129+O129+R129+U129+X129+AA129+AD129+AG129+AJ129+AM129</f>
        <v>0</v>
      </c>
      <c r="D129" s="57"/>
    </row>
    <row r="130" spans="1:27" s="58" customFormat="1" x14ac:dyDescent="0.2">
      <c r="A130" s="3"/>
      <c r="B130" s="2"/>
      <c r="C130" s="2"/>
      <c r="D130" s="57"/>
      <c r="F130" s="127">
        <f>F125-F27</f>
        <v>0</v>
      </c>
      <c r="I130" s="127">
        <f>I27-I109-I110-I111-I112-I113-I114-I115-I116-I117-I118-I119-I120-I121-I122-I123-I124-I125-I126-I127</f>
        <v>0</v>
      </c>
      <c r="L130" s="127">
        <f>L27-L109-L110-L111-L112-L113-L114-L115-L116-L117-L118-L119-L120-L121-L122-L123-L124-L125-L126-L127</f>
        <v>0</v>
      </c>
      <c r="O130" s="127">
        <f>O27-O109-O110-O111-O112-O113-O114-O115-O116-O117-O118-O119-O120-O121-O122-O123-O124-O125-O126-O127</f>
        <v>0</v>
      </c>
      <c r="R130" s="127">
        <f>R27-R109-R110-R111-R112-R113-R114-R115-R116-R117-R118-R119-R120-R121-R122-R123-R124-R125-R126-R127</f>
        <v>0</v>
      </c>
      <c r="U130" s="127">
        <f>U27-U109-U110-U111-U112-U113-U114-U115-U116-U117-U118-U119-U120-U121-U122-U123-U124-U125-U126-U127</f>
        <v>0</v>
      </c>
      <c r="X130" s="127">
        <f>X27-X109-X110-X111-X112-X113-X114-X115-X116-X117-X118-X119-X120-X121-X122-X123-X124-X125-X126-X127</f>
        <v>0</v>
      </c>
      <c r="AA130" s="127">
        <f>AA27-AA109-AA110-AA111-AA112-AA113-AA114-AA115-AA116-AA117-AA118-AA119-AA120-AA121-AA122-AA123-AA124-AA125-AA126-AA127</f>
        <v>0</v>
      </c>
    </row>
    <row r="131" spans="1:27" s="58" customFormat="1" x14ac:dyDescent="0.2">
      <c r="A131" s="3"/>
      <c r="B131" s="2"/>
      <c r="C131" s="2"/>
      <c r="D131" s="57"/>
      <c r="F131" s="149"/>
    </row>
    <row r="132" spans="1:27" s="58" customFormat="1" x14ac:dyDescent="0.2">
      <c r="A132" s="3"/>
      <c r="B132" s="2"/>
      <c r="C132" s="2"/>
      <c r="D132" s="57"/>
    </row>
    <row r="133" spans="1:27" s="58" customFormat="1" x14ac:dyDescent="0.2">
      <c r="A133" s="3"/>
      <c r="B133" s="2"/>
      <c r="C133" s="2"/>
      <c r="D133" s="57"/>
    </row>
    <row r="134" spans="1:27" s="58" customFormat="1" x14ac:dyDescent="0.2">
      <c r="A134" s="3"/>
      <c r="B134" s="2"/>
      <c r="C134" s="2"/>
      <c r="D134" s="57"/>
    </row>
    <row r="135" spans="1:27" s="58" customFormat="1" x14ac:dyDescent="0.2">
      <c r="A135" s="3"/>
      <c r="B135" s="2"/>
      <c r="C135" s="2"/>
      <c r="D135" s="57"/>
    </row>
    <row r="136" spans="1:27" s="58" customFormat="1" x14ac:dyDescent="0.2">
      <c r="A136" s="3"/>
      <c r="B136" s="2"/>
      <c r="C136" s="2"/>
      <c r="D136" s="57"/>
    </row>
    <row r="137" spans="1:27" s="58" customFormat="1" x14ac:dyDescent="0.2">
      <c r="A137" s="3"/>
      <c r="B137" s="2"/>
      <c r="C137" s="2"/>
      <c r="D137" s="2"/>
    </row>
    <row r="138" spans="1:27" s="58" customFormat="1" x14ac:dyDescent="0.2">
      <c r="A138" s="3"/>
      <c r="B138" s="2"/>
      <c r="C138" s="2"/>
      <c r="D138" s="2"/>
    </row>
    <row r="139" spans="1:27" s="58" customFormat="1" x14ac:dyDescent="0.2">
      <c r="A139" s="3"/>
      <c r="B139" s="2"/>
      <c r="C139" s="2"/>
      <c r="D139" s="2"/>
    </row>
    <row r="140" spans="1:27" s="58" customFormat="1" x14ac:dyDescent="0.2">
      <c r="A140" s="3"/>
      <c r="B140" s="2"/>
      <c r="C140" s="2"/>
      <c r="D140" s="2"/>
    </row>
    <row r="141" spans="1:27" s="58" customFormat="1" x14ac:dyDescent="0.2">
      <c r="A141" s="3"/>
      <c r="B141" s="2"/>
      <c r="C141" s="2"/>
      <c r="D141" s="2"/>
    </row>
    <row r="142" spans="1:27" s="58" customFormat="1" x14ac:dyDescent="0.2">
      <c r="A142" s="3"/>
      <c r="B142" s="2"/>
      <c r="C142" s="2"/>
      <c r="D142" s="2"/>
    </row>
    <row r="143" spans="1:27" s="58" customFormat="1" x14ac:dyDescent="0.2">
      <c r="A143" s="3"/>
      <c r="B143" s="2"/>
      <c r="C143" s="2"/>
      <c r="D143" s="2"/>
    </row>
    <row r="144" spans="1:27" s="58" customFormat="1" x14ac:dyDescent="0.2">
      <c r="A144" s="3"/>
      <c r="B144" s="2"/>
      <c r="C144" s="2"/>
      <c r="D144" s="2"/>
    </row>
    <row r="145" spans="2:4" s="58" customFormat="1" x14ac:dyDescent="0.2">
      <c r="B145" s="2"/>
      <c r="C145" s="2"/>
      <c r="D145" s="2"/>
    </row>
    <row r="146" spans="2:4" s="58" customFormat="1" x14ac:dyDescent="0.2">
      <c r="B146" s="2"/>
      <c r="C146" s="2"/>
      <c r="D146" s="2"/>
    </row>
    <row r="147" spans="2:4" s="58" customFormat="1" x14ac:dyDescent="0.2">
      <c r="B147" s="2"/>
      <c r="C147" s="2"/>
      <c r="D147" s="2"/>
    </row>
    <row r="148" spans="2:4" s="58" customFormat="1" x14ac:dyDescent="0.2">
      <c r="B148" s="2"/>
      <c r="C148" s="2"/>
      <c r="D148" s="2"/>
    </row>
    <row r="149" spans="2:4" s="58" customFormat="1" x14ac:dyDescent="0.2">
      <c r="B149" s="2"/>
      <c r="C149" s="2"/>
      <c r="D149" s="2"/>
    </row>
    <row r="150" spans="2:4" s="58" customFormat="1" x14ac:dyDescent="0.2">
      <c r="B150" s="2"/>
      <c r="C150" s="2"/>
      <c r="D150" s="2"/>
    </row>
    <row r="151" spans="2:4" s="58" customFormat="1" x14ac:dyDescent="0.2">
      <c r="B151" s="2"/>
      <c r="C151" s="2"/>
      <c r="D151" s="2"/>
    </row>
    <row r="152" spans="2:4" s="58" customFormat="1" x14ac:dyDescent="0.2">
      <c r="B152" s="2"/>
      <c r="C152" s="2"/>
      <c r="D152" s="2"/>
    </row>
    <row r="153" spans="2:4" s="58" customFormat="1" x14ac:dyDescent="0.2">
      <c r="B153" s="2"/>
      <c r="C153" s="2"/>
      <c r="D153" s="2"/>
    </row>
    <row r="154" spans="2:4" s="58" customFormat="1" x14ac:dyDescent="0.2">
      <c r="B154" s="2"/>
      <c r="C154" s="2"/>
      <c r="D154" s="2"/>
    </row>
    <row r="155" spans="2:4" s="58" customFormat="1" x14ac:dyDescent="0.2">
      <c r="B155" s="2"/>
      <c r="C155" s="2"/>
      <c r="D155" s="2"/>
    </row>
    <row r="156" spans="2:4" s="58" customFormat="1" x14ac:dyDescent="0.2">
      <c r="B156" s="2"/>
      <c r="C156" s="2"/>
      <c r="D156" s="2"/>
    </row>
    <row r="157" spans="2:4" s="58" customFormat="1" x14ac:dyDescent="0.2">
      <c r="B157" s="2"/>
      <c r="C157" s="2"/>
      <c r="D157" s="2"/>
    </row>
    <row r="158" spans="2:4" s="58" customFormat="1" x14ac:dyDescent="0.2">
      <c r="B158" s="2"/>
      <c r="C158" s="2"/>
      <c r="D158" s="2"/>
    </row>
    <row r="159" spans="2:4" s="58" customFormat="1" x14ac:dyDescent="0.2">
      <c r="B159" s="2"/>
      <c r="C159" s="2"/>
      <c r="D159" s="2"/>
    </row>
    <row r="160" spans="2:4" s="58" customFormat="1" x14ac:dyDescent="0.2">
      <c r="B160" s="2"/>
      <c r="C160" s="2"/>
      <c r="D160" s="2"/>
    </row>
    <row r="161" spans="2:4" s="58" customFormat="1" x14ac:dyDescent="0.2">
      <c r="B161" s="2"/>
      <c r="C161" s="2"/>
      <c r="D161" s="2"/>
    </row>
    <row r="162" spans="2:4" s="58" customFormat="1" x14ac:dyDescent="0.2">
      <c r="B162" s="2"/>
      <c r="C162" s="2"/>
      <c r="D162" s="2"/>
    </row>
    <row r="163" spans="2:4" s="58" customFormat="1" x14ac:dyDescent="0.2">
      <c r="B163" s="2"/>
      <c r="C163" s="2"/>
      <c r="D163" s="2"/>
    </row>
    <row r="164" spans="2:4" s="58" customFormat="1" x14ac:dyDescent="0.2">
      <c r="B164" s="2"/>
      <c r="C164" s="2"/>
      <c r="D164" s="2"/>
    </row>
  </sheetData>
  <mergeCells count="12">
    <mergeCell ref="AM3:AO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</mergeCells>
  <printOptions horizontalCentered="1"/>
  <pageMargins left="0.19685039370078741" right="3.937007874015748E-2" top="0.19685039370078741" bottom="0.19685039370078741" header="0" footer="0"/>
  <pageSetup paperSize="9" scale="35" firstPageNumber="2" orientation="landscape" cellComments="asDisplayed" r:id="rId1"/>
  <headerFooter alignWithMargins="0"/>
  <colBreaks count="2" manualBreakCount="2">
    <brk id="14" max="100" man="1"/>
    <brk id="29" max="100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A164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6" sqref="G6"/>
    </sheetView>
  </sheetViews>
  <sheetFormatPr baseColWidth="10" defaultColWidth="12.42578125" defaultRowHeight="15" x14ac:dyDescent="0.2"/>
  <cols>
    <col min="1" max="1" width="44.7109375" style="3" customWidth="1"/>
    <col min="2" max="2" width="9" style="3" hidden="1" customWidth="1"/>
    <col min="3" max="3" width="16.28515625" style="3" customWidth="1"/>
    <col min="4" max="4" width="16.28515625" style="3" hidden="1" customWidth="1"/>
    <col min="5" max="5" width="12.42578125" style="3" customWidth="1"/>
    <col min="6" max="6" width="14.85546875" style="3" customWidth="1"/>
    <col min="7" max="7" width="15.85546875" style="3" customWidth="1"/>
    <col min="8" max="8" width="14.85546875" style="3" customWidth="1"/>
    <col min="9" max="9" width="15.5703125" style="3" bestFit="1" customWidth="1"/>
    <col min="10" max="10" width="15.85546875" style="3" customWidth="1"/>
    <col min="11" max="11" width="14" style="3" bestFit="1" customWidth="1"/>
    <col min="12" max="12" width="14.85546875" style="3" hidden="1" customWidth="1"/>
    <col min="13" max="13" width="10.85546875" style="3" hidden="1" customWidth="1"/>
    <col min="14" max="14" width="14.85546875" style="3" hidden="1" customWidth="1"/>
    <col min="15" max="15" width="14.85546875" style="3" customWidth="1"/>
    <col min="16" max="16" width="13" style="3" customWidth="1"/>
    <col min="17" max="17" width="14.85546875" style="3" customWidth="1"/>
    <col min="18" max="20" width="13.42578125" style="3" customWidth="1"/>
    <col min="21" max="21" width="13.42578125" style="3" bestFit="1" customWidth="1"/>
    <col min="22" max="22" width="10.85546875" style="3" bestFit="1" customWidth="1"/>
    <col min="23" max="23" width="13.42578125" style="3" bestFit="1" customWidth="1"/>
    <col min="24" max="24" width="12.5703125" style="3" bestFit="1" customWidth="1"/>
    <col min="25" max="25" width="10.85546875" style="3" bestFit="1" customWidth="1"/>
    <col min="26" max="26" width="12.5703125" style="3" bestFit="1" customWidth="1"/>
    <col min="27" max="27" width="11.5703125" style="3" bestFit="1" customWidth="1"/>
    <col min="28" max="28" width="10.85546875" style="3" bestFit="1" customWidth="1"/>
    <col min="29" max="29" width="16" style="3" customWidth="1"/>
    <col min="30" max="32" width="9" style="3" customWidth="1"/>
    <col min="33" max="41" width="9" style="3" hidden="1" customWidth="1"/>
    <col min="42" max="43" width="33" style="3" customWidth="1"/>
    <col min="44" max="235" width="12.42578125" style="3" customWidth="1"/>
    <col min="236" max="16384" width="12.42578125" style="58"/>
  </cols>
  <sheetData>
    <row r="1" spans="1:41" s="58" customFormat="1" ht="30" x14ac:dyDescent="0.4">
      <c r="A1" s="1" t="s">
        <v>39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 t="s">
        <v>176</v>
      </c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s="58" customFormat="1" ht="6.95" customHeight="1" x14ac:dyDescent="0.2">
      <c r="A2" s="3"/>
      <c r="B2" s="2"/>
      <c r="C2" s="2"/>
      <c r="D2" s="2"/>
      <c r="E2" s="3"/>
      <c r="F2" s="3"/>
      <c r="G2" s="3"/>
      <c r="H2" s="3"/>
      <c r="I2" s="3"/>
      <c r="J2" s="123"/>
      <c r="K2" s="3"/>
      <c r="L2" s="3"/>
      <c r="M2" s="3"/>
      <c r="N2" s="3"/>
      <c r="O2" s="3"/>
      <c r="P2" s="123"/>
      <c r="Q2" s="3"/>
      <c r="R2" s="3"/>
      <c r="S2" s="12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s="58" customFormat="1" x14ac:dyDescent="0.2">
      <c r="A3" s="4" t="s">
        <v>0</v>
      </c>
      <c r="B3" s="150"/>
      <c r="C3" s="150"/>
      <c r="D3" s="150"/>
      <c r="E3" s="3"/>
      <c r="F3" s="162" t="s">
        <v>41</v>
      </c>
      <c r="G3" s="162"/>
      <c r="H3" s="162"/>
      <c r="I3" s="163" t="s">
        <v>45</v>
      </c>
      <c r="J3" s="163"/>
      <c r="K3" s="163"/>
      <c r="L3" s="162" t="s">
        <v>172</v>
      </c>
      <c r="M3" s="162"/>
      <c r="N3" s="162"/>
      <c r="O3" s="163" t="s">
        <v>43</v>
      </c>
      <c r="P3" s="163"/>
      <c r="Q3" s="163"/>
      <c r="R3" s="162" t="s">
        <v>44</v>
      </c>
      <c r="S3" s="162"/>
      <c r="T3" s="162"/>
      <c r="U3" s="163" t="s">
        <v>51</v>
      </c>
      <c r="V3" s="163"/>
      <c r="W3" s="163"/>
      <c r="X3" s="162" t="s">
        <v>161</v>
      </c>
      <c r="Y3" s="162"/>
      <c r="Z3" s="162"/>
      <c r="AA3" s="163" t="s">
        <v>48</v>
      </c>
      <c r="AB3" s="163"/>
      <c r="AC3" s="163"/>
      <c r="AD3" s="162" t="s">
        <v>49</v>
      </c>
      <c r="AE3" s="162"/>
      <c r="AF3" s="162"/>
      <c r="AG3" s="163"/>
      <c r="AH3" s="163"/>
      <c r="AI3" s="163"/>
      <c r="AJ3" s="162"/>
      <c r="AK3" s="162"/>
      <c r="AL3" s="162"/>
      <c r="AM3" s="163"/>
      <c r="AN3" s="163"/>
      <c r="AO3" s="163"/>
    </row>
    <row r="4" spans="1:41" s="58" customFormat="1" x14ac:dyDescent="0.2">
      <c r="A4" s="6" t="s">
        <v>1</v>
      </c>
      <c r="B4" s="150"/>
      <c r="C4" s="7">
        <v>2019</v>
      </c>
      <c r="D4" s="8" t="s">
        <v>2</v>
      </c>
      <c r="E4" s="3"/>
      <c r="F4" s="62">
        <f>$C$4</f>
        <v>2019</v>
      </c>
      <c r="G4" s="63" t="s">
        <v>38</v>
      </c>
      <c r="H4" s="63" t="s">
        <v>40</v>
      </c>
      <c r="I4" s="61">
        <f>F4</f>
        <v>2019</v>
      </c>
      <c r="J4" s="60" t="s">
        <v>38</v>
      </c>
      <c r="K4" s="60" t="s">
        <v>40</v>
      </c>
      <c r="L4" s="62">
        <f>F4</f>
        <v>2019</v>
      </c>
      <c r="M4" s="63" t="s">
        <v>38</v>
      </c>
      <c r="N4" s="63" t="s">
        <v>40</v>
      </c>
      <c r="O4" s="61">
        <f>F4</f>
        <v>2019</v>
      </c>
      <c r="P4" s="60" t="s">
        <v>38</v>
      </c>
      <c r="Q4" s="60" t="s">
        <v>40</v>
      </c>
      <c r="R4" s="62">
        <f>F4</f>
        <v>2019</v>
      </c>
      <c r="S4" s="63" t="s">
        <v>38</v>
      </c>
      <c r="T4" s="63" t="s">
        <v>40</v>
      </c>
      <c r="U4" s="61">
        <f>F4</f>
        <v>2019</v>
      </c>
      <c r="V4" s="60" t="s">
        <v>38</v>
      </c>
      <c r="W4" s="60" t="s">
        <v>40</v>
      </c>
      <c r="X4" s="62">
        <f>F4</f>
        <v>2019</v>
      </c>
      <c r="Y4" s="63" t="s">
        <v>38</v>
      </c>
      <c r="Z4" s="63" t="s">
        <v>40</v>
      </c>
      <c r="AA4" s="61">
        <f>F4</f>
        <v>2019</v>
      </c>
      <c r="AB4" s="60" t="s">
        <v>38</v>
      </c>
      <c r="AC4" s="60" t="s">
        <v>40</v>
      </c>
      <c r="AD4" s="62">
        <f>F4</f>
        <v>2019</v>
      </c>
      <c r="AE4" s="63" t="s">
        <v>38</v>
      </c>
      <c r="AF4" s="63" t="s">
        <v>40</v>
      </c>
      <c r="AG4" s="61"/>
      <c r="AH4" s="60" t="s">
        <v>38</v>
      </c>
      <c r="AI4" s="60" t="s">
        <v>40</v>
      </c>
      <c r="AJ4" s="62"/>
      <c r="AK4" s="63" t="s">
        <v>38</v>
      </c>
      <c r="AL4" s="63" t="s">
        <v>40</v>
      </c>
      <c r="AM4" s="61"/>
      <c r="AN4" s="60" t="s">
        <v>38</v>
      </c>
      <c r="AO4" s="60" t="s">
        <v>40</v>
      </c>
    </row>
    <row r="5" spans="1:41" s="58" customFormat="1" ht="17.100000000000001" customHeight="1" x14ac:dyDescent="0.25">
      <c r="A5" s="9" t="s">
        <v>3</v>
      </c>
      <c r="B5" s="10" t="s">
        <v>4</v>
      </c>
      <c r="C5" s="11"/>
      <c r="D5" s="11" t="s">
        <v>2</v>
      </c>
      <c r="E5" s="3"/>
      <c r="F5" s="65"/>
      <c r="G5" s="65"/>
      <c r="H5" s="65"/>
      <c r="I5" s="66"/>
      <c r="J5" s="66"/>
      <c r="K5" s="66"/>
      <c r="L5" s="65"/>
      <c r="M5" s="65"/>
      <c r="N5" s="65"/>
      <c r="O5" s="66"/>
      <c r="P5" s="66"/>
      <c r="Q5" s="66"/>
      <c r="R5" s="65"/>
      <c r="S5" s="65"/>
      <c r="T5" s="65"/>
      <c r="U5" s="66"/>
      <c r="V5" s="66"/>
      <c r="W5" s="66"/>
      <c r="X5" s="65"/>
      <c r="Y5" s="65"/>
      <c r="Z5" s="65"/>
      <c r="AA5" s="66"/>
      <c r="AB5" s="66"/>
      <c r="AC5" s="66"/>
      <c r="AD5" s="65"/>
      <c r="AE5" s="65"/>
      <c r="AF5" s="65"/>
      <c r="AG5" s="66"/>
      <c r="AH5" s="66"/>
      <c r="AI5" s="66"/>
      <c r="AJ5" s="65"/>
      <c r="AK5" s="65"/>
      <c r="AL5" s="65"/>
      <c r="AM5" s="66"/>
      <c r="AN5" s="66"/>
      <c r="AO5" s="66"/>
    </row>
    <row r="6" spans="1:41" s="58" customFormat="1" ht="9" customHeight="1" x14ac:dyDescent="0.2">
      <c r="A6" s="12"/>
      <c r="B6" s="13"/>
      <c r="C6" s="12"/>
      <c r="D6" s="12"/>
      <c r="E6" s="3"/>
      <c r="F6" s="65"/>
      <c r="G6" s="65"/>
      <c r="H6" s="65"/>
      <c r="I6" s="66"/>
      <c r="J6" s="66"/>
      <c r="K6" s="66"/>
      <c r="L6" s="65"/>
      <c r="M6" s="65"/>
      <c r="N6" s="65"/>
      <c r="O6" s="66"/>
      <c r="P6" s="66"/>
      <c r="Q6" s="66"/>
      <c r="R6" s="65"/>
      <c r="S6" s="65"/>
      <c r="T6" s="65"/>
      <c r="U6" s="66"/>
      <c r="V6" s="66"/>
      <c r="W6" s="66"/>
      <c r="X6" s="65"/>
      <c r="Y6" s="65"/>
      <c r="Z6" s="65"/>
      <c r="AA6" s="66"/>
      <c r="AB6" s="66"/>
      <c r="AC6" s="66"/>
      <c r="AD6" s="65"/>
      <c r="AE6" s="65"/>
      <c r="AF6" s="65"/>
      <c r="AG6" s="66"/>
      <c r="AH6" s="66"/>
      <c r="AI6" s="66"/>
      <c r="AJ6" s="65"/>
      <c r="AK6" s="65"/>
      <c r="AL6" s="65"/>
      <c r="AM6" s="66"/>
      <c r="AN6" s="66"/>
      <c r="AO6" s="66"/>
    </row>
    <row r="7" spans="1:41" s="58" customFormat="1" ht="17.25" customHeight="1" x14ac:dyDescent="0.2">
      <c r="A7" s="64" t="s">
        <v>82</v>
      </c>
      <c r="B7" s="13"/>
      <c r="C7" s="14">
        <f>H7+K7+N7+Q7+T7+W7+Z7+AC7+AF7+AI7+AL7</f>
        <v>221529</v>
      </c>
      <c r="D7" s="14">
        <v>60000</v>
      </c>
      <c r="E7" s="3"/>
      <c r="F7" s="132">
        <v>0</v>
      </c>
      <c r="G7" s="65"/>
      <c r="H7" s="65">
        <f t="shared" ref="H7:H41" si="0">F7+G7</f>
        <v>0</v>
      </c>
      <c r="I7" s="132">
        <v>69286</v>
      </c>
      <c r="J7" s="66"/>
      <c r="K7" s="66">
        <f t="shared" ref="K7:K41" si="1">I7+J7</f>
        <v>69286</v>
      </c>
      <c r="L7" s="132"/>
      <c r="M7" s="65"/>
      <c r="N7" s="65">
        <f t="shared" ref="N7:N41" si="2">L7+M7</f>
        <v>0</v>
      </c>
      <c r="O7" s="132">
        <v>33244</v>
      </c>
      <c r="P7" s="66"/>
      <c r="Q7" s="66">
        <f t="shared" ref="Q7:Q41" si="3">O7+P7</f>
        <v>33244</v>
      </c>
      <c r="R7" s="132">
        <v>118999</v>
      </c>
      <c r="S7" s="65"/>
      <c r="T7" s="65">
        <f t="shared" ref="T7:T41" si="4">R7+S7</f>
        <v>118999</v>
      </c>
      <c r="U7" s="66"/>
      <c r="V7" s="66"/>
      <c r="W7" s="66">
        <f t="shared" ref="W7:W41" si="5">U7+V7</f>
        <v>0</v>
      </c>
      <c r="X7" s="65"/>
      <c r="Y7" s="65"/>
      <c r="Z7" s="65">
        <f t="shared" ref="Z7:Z41" si="6">X7+Y7</f>
        <v>0</v>
      </c>
      <c r="AA7" s="66"/>
      <c r="AB7" s="66"/>
      <c r="AC7" s="66">
        <f t="shared" ref="AC7:AC41" si="7">AA7+AB7</f>
        <v>0</v>
      </c>
      <c r="AD7" s="65"/>
      <c r="AE7" s="65"/>
      <c r="AF7" s="65">
        <f t="shared" ref="AF7:AF41" si="8">AD7+AE7</f>
        <v>0</v>
      </c>
      <c r="AG7" s="66"/>
      <c r="AH7" s="66"/>
      <c r="AI7" s="66">
        <f t="shared" ref="AI7:AI41" si="9">AG7+AH7</f>
        <v>0</v>
      </c>
      <c r="AJ7" s="65"/>
      <c r="AK7" s="65"/>
      <c r="AL7" s="65">
        <f t="shared" ref="AL7:AL41" si="10">AJ7+AK7</f>
        <v>0</v>
      </c>
      <c r="AM7" s="66"/>
      <c r="AN7" s="66"/>
      <c r="AO7" s="66">
        <f t="shared" ref="AO7" si="11">AM7+AN7</f>
        <v>0</v>
      </c>
    </row>
    <row r="8" spans="1:41" s="58" customFormat="1" ht="17.25" customHeight="1" x14ac:dyDescent="0.2">
      <c r="A8" s="64" t="s">
        <v>96</v>
      </c>
      <c r="B8" s="13"/>
      <c r="C8" s="14">
        <f t="shared" ref="C8:C10" si="12">H8+K8+N8+Q8+T8+W8+Z8+AC8+AF8+AI8+AL8</f>
        <v>144920</v>
      </c>
      <c r="D8" s="14"/>
      <c r="E8" s="3"/>
      <c r="F8" s="132"/>
      <c r="G8" s="65"/>
      <c r="H8" s="65">
        <f t="shared" si="0"/>
        <v>0</v>
      </c>
      <c r="I8" s="132">
        <v>65360</v>
      </c>
      <c r="J8" s="66"/>
      <c r="K8" s="66">
        <f t="shared" si="1"/>
        <v>65360</v>
      </c>
      <c r="L8" s="132"/>
      <c r="M8" s="65"/>
      <c r="N8" s="65">
        <f>L8+M8</f>
        <v>0</v>
      </c>
      <c r="O8" s="132">
        <v>0</v>
      </c>
      <c r="P8" s="66"/>
      <c r="Q8" s="66">
        <f t="shared" si="3"/>
        <v>0</v>
      </c>
      <c r="R8" s="132">
        <v>79560</v>
      </c>
      <c r="S8" s="65"/>
      <c r="T8" s="65">
        <f t="shared" si="4"/>
        <v>79560</v>
      </c>
      <c r="U8" s="132"/>
      <c r="V8" s="66"/>
      <c r="W8" s="66">
        <f t="shared" si="5"/>
        <v>0</v>
      </c>
      <c r="X8" s="132"/>
      <c r="Y8" s="65"/>
      <c r="Z8" s="65">
        <f t="shared" si="6"/>
        <v>0</v>
      </c>
      <c r="AA8" s="132"/>
      <c r="AB8" s="66"/>
      <c r="AC8" s="66">
        <f t="shared" si="7"/>
        <v>0</v>
      </c>
      <c r="AD8" s="65"/>
      <c r="AE8" s="65"/>
      <c r="AF8" s="65"/>
      <c r="AG8" s="66"/>
      <c r="AH8" s="66"/>
      <c r="AI8" s="66"/>
      <c r="AJ8" s="65"/>
      <c r="AK8" s="65"/>
      <c r="AL8" s="65"/>
      <c r="AM8" s="66"/>
      <c r="AN8" s="66"/>
      <c r="AO8" s="66"/>
    </row>
    <row r="9" spans="1:41" s="58" customFormat="1" ht="17.25" customHeight="1" x14ac:dyDescent="0.2">
      <c r="A9" s="64" t="s">
        <v>84</v>
      </c>
      <c r="B9" s="13"/>
      <c r="C9" s="14">
        <f t="shared" si="12"/>
        <v>102730</v>
      </c>
      <c r="D9" s="14"/>
      <c r="E9" s="3"/>
      <c r="F9" s="132"/>
      <c r="G9" s="65"/>
      <c r="H9" s="65">
        <f t="shared" si="0"/>
        <v>0</v>
      </c>
      <c r="I9" s="132">
        <v>102730</v>
      </c>
      <c r="J9" s="66"/>
      <c r="K9" s="66">
        <f t="shared" si="1"/>
        <v>102730</v>
      </c>
      <c r="L9" s="132"/>
      <c r="M9" s="65"/>
      <c r="N9" s="65">
        <f>L9+M9</f>
        <v>0</v>
      </c>
      <c r="O9" s="132"/>
      <c r="P9" s="66"/>
      <c r="Q9" s="66">
        <f t="shared" si="3"/>
        <v>0</v>
      </c>
      <c r="R9" s="132"/>
      <c r="S9" s="65"/>
      <c r="T9" s="65">
        <f t="shared" si="4"/>
        <v>0</v>
      </c>
      <c r="U9" s="132">
        <v>0</v>
      </c>
      <c r="V9" s="66"/>
      <c r="W9" s="66">
        <f t="shared" si="5"/>
        <v>0</v>
      </c>
      <c r="X9" s="132"/>
      <c r="Y9" s="65"/>
      <c r="Z9" s="65">
        <f t="shared" si="6"/>
        <v>0</v>
      </c>
      <c r="AA9" s="132"/>
      <c r="AB9" s="66"/>
      <c r="AC9" s="66">
        <f t="shared" si="7"/>
        <v>0</v>
      </c>
      <c r="AD9" s="65"/>
      <c r="AE9" s="65"/>
      <c r="AF9" s="65"/>
      <c r="AG9" s="66"/>
      <c r="AH9" s="66"/>
      <c r="AI9" s="66"/>
      <c r="AJ9" s="65"/>
      <c r="AK9" s="65"/>
      <c r="AL9" s="65"/>
      <c r="AM9" s="66"/>
      <c r="AN9" s="66"/>
      <c r="AO9" s="66"/>
    </row>
    <row r="10" spans="1:41" s="58" customFormat="1" ht="17.25" customHeight="1" x14ac:dyDescent="0.2">
      <c r="A10" s="64" t="s">
        <v>86</v>
      </c>
      <c r="B10" s="13"/>
      <c r="C10" s="14">
        <f t="shared" si="12"/>
        <v>1077400</v>
      </c>
      <c r="D10" s="14"/>
      <c r="E10" s="3"/>
      <c r="F10" s="132"/>
      <c r="G10" s="65"/>
      <c r="H10" s="65">
        <f t="shared" si="0"/>
        <v>0</v>
      </c>
      <c r="I10" s="132">
        <v>0</v>
      </c>
      <c r="J10" s="66"/>
      <c r="K10" s="66">
        <f t="shared" si="1"/>
        <v>0</v>
      </c>
      <c r="L10" s="132"/>
      <c r="M10" s="65"/>
      <c r="N10" s="65">
        <f>L10+M10</f>
        <v>0</v>
      </c>
      <c r="O10" s="132">
        <v>203900</v>
      </c>
      <c r="P10" s="66"/>
      <c r="Q10" s="66">
        <f t="shared" si="3"/>
        <v>203900</v>
      </c>
      <c r="R10" s="132">
        <v>873500</v>
      </c>
      <c r="S10" s="65"/>
      <c r="T10" s="65">
        <f t="shared" si="4"/>
        <v>873500</v>
      </c>
      <c r="U10" s="132">
        <v>0</v>
      </c>
      <c r="V10" s="66"/>
      <c r="W10" s="66">
        <f t="shared" si="5"/>
        <v>0</v>
      </c>
      <c r="X10" s="132"/>
      <c r="Y10" s="65"/>
      <c r="Z10" s="65">
        <f t="shared" si="6"/>
        <v>0</v>
      </c>
      <c r="AA10" s="132"/>
      <c r="AB10" s="66"/>
      <c r="AC10" s="66">
        <f t="shared" si="7"/>
        <v>0</v>
      </c>
      <c r="AD10" s="65"/>
      <c r="AE10" s="65"/>
      <c r="AF10" s="65"/>
      <c r="AG10" s="66"/>
      <c r="AH10" s="66"/>
      <c r="AI10" s="66"/>
      <c r="AJ10" s="65"/>
      <c r="AK10" s="65"/>
      <c r="AL10" s="65"/>
      <c r="AM10" s="66"/>
      <c r="AN10" s="66"/>
      <c r="AO10" s="66"/>
    </row>
    <row r="11" spans="1:41" s="58" customFormat="1" ht="17.25" customHeight="1" x14ac:dyDescent="0.2">
      <c r="A11" s="64" t="s">
        <v>88</v>
      </c>
      <c r="B11" s="13"/>
      <c r="C11" s="14">
        <f t="shared" ref="C11:C21" si="13">H11+K11+N11+Q11+T11+W11+Z11+AC11+AF11+AI11+AL11+AO11</f>
        <v>163800</v>
      </c>
      <c r="D11" s="14"/>
      <c r="E11" s="3"/>
      <c r="F11" s="132">
        <v>163800</v>
      </c>
      <c r="G11" s="65"/>
      <c r="H11" s="65">
        <f t="shared" si="0"/>
        <v>163800</v>
      </c>
      <c r="I11" s="132"/>
      <c r="J11" s="66"/>
      <c r="K11" s="66">
        <f t="shared" si="1"/>
        <v>0</v>
      </c>
      <c r="L11" s="132"/>
      <c r="M11" s="65"/>
      <c r="N11" s="65">
        <f t="shared" si="2"/>
        <v>0</v>
      </c>
      <c r="O11" s="132"/>
      <c r="P11" s="66"/>
      <c r="Q11" s="66">
        <f t="shared" si="3"/>
        <v>0</v>
      </c>
      <c r="R11" s="132"/>
      <c r="S11" s="65"/>
      <c r="T11" s="65">
        <f t="shared" si="4"/>
        <v>0</v>
      </c>
      <c r="U11" s="132"/>
      <c r="V11" s="66"/>
      <c r="W11" s="66">
        <f t="shared" si="5"/>
        <v>0</v>
      </c>
      <c r="X11" s="132"/>
      <c r="Y11" s="65"/>
      <c r="Z11" s="65">
        <f t="shared" si="6"/>
        <v>0</v>
      </c>
      <c r="AA11" s="132"/>
      <c r="AB11" s="66"/>
      <c r="AC11" s="66">
        <f t="shared" si="7"/>
        <v>0</v>
      </c>
      <c r="AD11" s="65"/>
      <c r="AE11" s="65"/>
      <c r="AF11" s="65">
        <f t="shared" si="8"/>
        <v>0</v>
      </c>
      <c r="AG11" s="66"/>
      <c r="AH11" s="66"/>
      <c r="AI11" s="66">
        <f t="shared" si="9"/>
        <v>0</v>
      </c>
      <c r="AJ11" s="65"/>
      <c r="AK11" s="65"/>
      <c r="AL11" s="65">
        <f t="shared" si="10"/>
        <v>0</v>
      </c>
      <c r="AM11" s="66"/>
      <c r="AN11" s="66"/>
      <c r="AO11" s="66">
        <f t="shared" ref="AO11" si="14">AM11+AN11</f>
        <v>0</v>
      </c>
    </row>
    <row r="12" spans="1:41" s="58" customFormat="1" ht="17.25" customHeight="1" x14ac:dyDescent="0.2">
      <c r="A12" s="64" t="s">
        <v>58</v>
      </c>
      <c r="B12" s="13"/>
      <c r="C12" s="14">
        <f t="shared" si="13"/>
        <v>148907</v>
      </c>
      <c r="D12" s="14"/>
      <c r="E12" s="3"/>
      <c r="F12" s="132">
        <v>148907</v>
      </c>
      <c r="G12" s="65"/>
      <c r="H12" s="65">
        <f t="shared" si="0"/>
        <v>148907</v>
      </c>
      <c r="I12" s="132"/>
      <c r="J12" s="66"/>
      <c r="K12" s="66">
        <f t="shared" si="1"/>
        <v>0</v>
      </c>
      <c r="L12" s="132"/>
      <c r="M12" s="65"/>
      <c r="N12" s="65">
        <f>L12+M12</f>
        <v>0</v>
      </c>
      <c r="O12" s="132"/>
      <c r="P12" s="66"/>
      <c r="Q12" s="66">
        <f t="shared" si="3"/>
        <v>0</v>
      </c>
      <c r="R12" s="132"/>
      <c r="S12" s="65"/>
      <c r="T12" s="65">
        <f t="shared" si="4"/>
        <v>0</v>
      </c>
      <c r="U12" s="132"/>
      <c r="V12" s="66"/>
      <c r="W12" s="66">
        <f t="shared" si="5"/>
        <v>0</v>
      </c>
      <c r="X12" s="132"/>
      <c r="Y12" s="65"/>
      <c r="Z12" s="65">
        <f t="shared" si="6"/>
        <v>0</v>
      </c>
      <c r="AA12" s="132"/>
      <c r="AB12" s="66"/>
      <c r="AC12" s="66">
        <f t="shared" si="7"/>
        <v>0</v>
      </c>
      <c r="AD12" s="65"/>
      <c r="AE12" s="65"/>
      <c r="AF12" s="65"/>
      <c r="AG12" s="66"/>
      <c r="AH12" s="66"/>
      <c r="AI12" s="66"/>
      <c r="AJ12" s="65"/>
      <c r="AK12" s="65"/>
      <c r="AL12" s="65"/>
      <c r="AM12" s="66"/>
      <c r="AN12" s="66"/>
      <c r="AO12" s="66"/>
    </row>
    <row r="13" spans="1:41" s="58" customFormat="1" ht="17.25" customHeight="1" x14ac:dyDescent="0.2">
      <c r="A13" s="64" t="s">
        <v>59</v>
      </c>
      <c r="B13" s="13"/>
      <c r="C13" s="14">
        <f t="shared" si="13"/>
        <v>15246</v>
      </c>
      <c r="D13" s="14"/>
      <c r="E13" s="3"/>
      <c r="F13" s="132">
        <v>100000</v>
      </c>
      <c r="G13" s="120">
        <f>-100000</f>
        <v>-100000</v>
      </c>
      <c r="H13" s="65">
        <f t="shared" si="0"/>
        <v>0</v>
      </c>
      <c r="I13" s="132">
        <v>30395</v>
      </c>
      <c r="J13" s="120">
        <v>-30395</v>
      </c>
      <c r="K13" s="66">
        <f t="shared" si="1"/>
        <v>0</v>
      </c>
      <c r="L13" s="132"/>
      <c r="M13" s="65"/>
      <c r="N13" s="65">
        <f t="shared" si="2"/>
        <v>0</v>
      </c>
      <c r="O13" s="133">
        <f>331000+49970</f>
        <v>380970</v>
      </c>
      <c r="P13" s="120">
        <f>-331000-49970</f>
        <v>-380970</v>
      </c>
      <c r="Q13" s="66">
        <f t="shared" si="3"/>
        <v>0</v>
      </c>
      <c r="R13" s="132"/>
      <c r="S13" s="65"/>
      <c r="T13" s="65">
        <f t="shared" si="4"/>
        <v>0</v>
      </c>
      <c r="U13" s="132">
        <v>11495</v>
      </c>
      <c r="V13" s="120">
        <v>-11495</v>
      </c>
      <c r="W13" s="66">
        <f t="shared" si="5"/>
        <v>0</v>
      </c>
      <c r="X13" s="132"/>
      <c r="Y13" s="65"/>
      <c r="Z13" s="65">
        <f t="shared" si="6"/>
        <v>0</v>
      </c>
      <c r="AA13" s="132">
        <f>15246+8570</f>
        <v>23816</v>
      </c>
      <c r="AB13" s="120">
        <v>-8570</v>
      </c>
      <c r="AC13" s="66">
        <f t="shared" si="7"/>
        <v>15246</v>
      </c>
      <c r="AD13" s="65">
        <v>0</v>
      </c>
      <c r="AE13" s="120">
        <v>0</v>
      </c>
      <c r="AF13" s="65">
        <f t="shared" si="8"/>
        <v>0</v>
      </c>
      <c r="AG13" s="66"/>
      <c r="AH13" s="66"/>
      <c r="AI13" s="66">
        <f t="shared" si="9"/>
        <v>0</v>
      </c>
      <c r="AJ13" s="65"/>
      <c r="AK13" s="65"/>
      <c r="AL13" s="65">
        <f t="shared" si="10"/>
        <v>0</v>
      </c>
      <c r="AM13" s="66"/>
      <c r="AN13" s="66"/>
      <c r="AO13" s="66">
        <f t="shared" ref="AO13:AO21" si="15">AM13+AN13</f>
        <v>0</v>
      </c>
    </row>
    <row r="14" spans="1:41" s="58" customFormat="1" ht="17.25" customHeight="1" x14ac:dyDescent="0.2">
      <c r="A14" s="64" t="s">
        <v>87</v>
      </c>
      <c r="B14" s="13"/>
      <c r="C14" s="14">
        <f t="shared" si="13"/>
        <v>47500</v>
      </c>
      <c r="D14" s="14">
        <v>80000</v>
      </c>
      <c r="E14" s="3"/>
      <c r="F14" s="132">
        <v>47500</v>
      </c>
      <c r="G14" s="65"/>
      <c r="H14" s="65">
        <f t="shared" si="0"/>
        <v>47500</v>
      </c>
      <c r="I14" s="132"/>
      <c r="J14" s="66"/>
      <c r="K14" s="66">
        <f t="shared" si="1"/>
        <v>0</v>
      </c>
      <c r="L14" s="132"/>
      <c r="M14" s="65"/>
      <c r="N14" s="65">
        <f t="shared" si="2"/>
        <v>0</v>
      </c>
      <c r="O14" s="132"/>
      <c r="P14" s="66"/>
      <c r="Q14" s="66">
        <f t="shared" si="3"/>
        <v>0</v>
      </c>
      <c r="R14" s="132"/>
      <c r="S14" s="65"/>
      <c r="T14" s="65">
        <f t="shared" si="4"/>
        <v>0</v>
      </c>
      <c r="U14" s="132"/>
      <c r="V14" s="66"/>
      <c r="W14" s="66">
        <f t="shared" si="5"/>
        <v>0</v>
      </c>
      <c r="X14" s="132"/>
      <c r="Y14" s="65"/>
      <c r="Z14" s="65">
        <f t="shared" si="6"/>
        <v>0</v>
      </c>
      <c r="AA14" s="132"/>
      <c r="AB14" s="66"/>
      <c r="AC14" s="66">
        <f t="shared" si="7"/>
        <v>0</v>
      </c>
      <c r="AD14" s="65"/>
      <c r="AE14" s="65"/>
      <c r="AF14" s="65">
        <f t="shared" si="8"/>
        <v>0</v>
      </c>
      <c r="AG14" s="66"/>
      <c r="AH14" s="66"/>
      <c r="AI14" s="66">
        <f t="shared" si="9"/>
        <v>0</v>
      </c>
      <c r="AJ14" s="65"/>
      <c r="AK14" s="65"/>
      <c r="AL14" s="65">
        <f t="shared" si="10"/>
        <v>0</v>
      </c>
      <c r="AM14" s="66"/>
      <c r="AN14" s="66"/>
      <c r="AO14" s="66">
        <f t="shared" si="15"/>
        <v>0</v>
      </c>
    </row>
    <row r="15" spans="1:41" s="58" customFormat="1" ht="17.25" customHeight="1" x14ac:dyDescent="0.2">
      <c r="A15" s="64" t="s">
        <v>53</v>
      </c>
      <c r="B15" s="13"/>
      <c r="C15" s="14">
        <f t="shared" si="13"/>
        <v>653217</v>
      </c>
      <c r="D15" s="14">
        <v>45000</v>
      </c>
      <c r="E15" s="3"/>
      <c r="F15" s="132">
        <v>10500</v>
      </c>
      <c r="G15" s="65"/>
      <c r="H15" s="65">
        <f t="shared" si="0"/>
        <v>10500</v>
      </c>
      <c r="I15" s="132">
        <v>124025</v>
      </c>
      <c r="J15" s="66"/>
      <c r="K15" s="66">
        <f t="shared" si="1"/>
        <v>124025</v>
      </c>
      <c r="L15" s="132"/>
      <c r="M15" s="65"/>
      <c r="N15" s="65">
        <f t="shared" si="2"/>
        <v>0</v>
      </c>
      <c r="O15" s="132">
        <v>469342</v>
      </c>
      <c r="P15" s="66"/>
      <c r="Q15" s="66">
        <f t="shared" si="3"/>
        <v>469342</v>
      </c>
      <c r="R15" s="132"/>
      <c r="S15" s="65"/>
      <c r="T15" s="65">
        <f t="shared" si="4"/>
        <v>0</v>
      </c>
      <c r="U15" s="132">
        <v>23650</v>
      </c>
      <c r="V15" s="66"/>
      <c r="W15" s="66">
        <f t="shared" si="5"/>
        <v>23650</v>
      </c>
      <c r="X15" s="132">
        <v>15600</v>
      </c>
      <c r="Y15" s="65"/>
      <c r="Z15" s="65">
        <f t="shared" si="6"/>
        <v>15600</v>
      </c>
      <c r="AA15" s="132">
        <v>7300</v>
      </c>
      <c r="AB15" s="66"/>
      <c r="AC15" s="66">
        <f t="shared" si="7"/>
        <v>7300</v>
      </c>
      <c r="AD15" s="65">
        <v>2800</v>
      </c>
      <c r="AE15" s="65"/>
      <c r="AF15" s="65">
        <f t="shared" si="8"/>
        <v>2800</v>
      </c>
      <c r="AG15" s="66"/>
      <c r="AH15" s="66"/>
      <c r="AI15" s="66">
        <f t="shared" si="9"/>
        <v>0</v>
      </c>
      <c r="AJ15" s="65"/>
      <c r="AK15" s="65"/>
      <c r="AL15" s="65">
        <f t="shared" si="10"/>
        <v>0</v>
      </c>
      <c r="AM15" s="66"/>
      <c r="AN15" s="66"/>
      <c r="AO15" s="66">
        <f t="shared" si="15"/>
        <v>0</v>
      </c>
    </row>
    <row r="16" spans="1:41" s="58" customFormat="1" ht="17.25" customHeight="1" x14ac:dyDescent="0.2">
      <c r="A16" s="64" t="s">
        <v>54</v>
      </c>
      <c r="B16" s="13"/>
      <c r="C16" s="14">
        <f t="shared" si="13"/>
        <v>536971</v>
      </c>
      <c r="D16" s="14">
        <v>3000</v>
      </c>
      <c r="E16" s="3"/>
      <c r="F16" s="132">
        <f>413846+221125</f>
        <v>634971</v>
      </c>
      <c r="G16" s="120">
        <v>-100000</v>
      </c>
      <c r="H16" s="65">
        <f t="shared" si="0"/>
        <v>534971</v>
      </c>
      <c r="I16" s="132">
        <v>0</v>
      </c>
      <c r="J16" s="66"/>
      <c r="K16" s="66">
        <f t="shared" si="1"/>
        <v>0</v>
      </c>
      <c r="L16" s="132"/>
      <c r="M16" s="65"/>
      <c r="N16" s="65">
        <f t="shared" si="2"/>
        <v>0</v>
      </c>
      <c r="O16" s="132">
        <v>0</v>
      </c>
      <c r="P16" s="66"/>
      <c r="Q16" s="66">
        <f t="shared" si="3"/>
        <v>0</v>
      </c>
      <c r="R16" s="132">
        <v>2000</v>
      </c>
      <c r="S16" s="65"/>
      <c r="T16" s="65">
        <f t="shared" si="4"/>
        <v>2000</v>
      </c>
      <c r="U16" s="132"/>
      <c r="V16" s="66"/>
      <c r="W16" s="66">
        <f t="shared" si="5"/>
        <v>0</v>
      </c>
      <c r="X16" s="132"/>
      <c r="Y16" s="65"/>
      <c r="Z16" s="65">
        <f t="shared" si="6"/>
        <v>0</v>
      </c>
      <c r="AA16" s="132"/>
      <c r="AB16" s="66"/>
      <c r="AC16" s="66">
        <f t="shared" si="7"/>
        <v>0</v>
      </c>
      <c r="AD16" s="65"/>
      <c r="AE16" s="65"/>
      <c r="AF16" s="65">
        <f t="shared" si="8"/>
        <v>0</v>
      </c>
      <c r="AG16" s="66"/>
      <c r="AH16" s="66"/>
      <c r="AI16" s="66">
        <f t="shared" si="9"/>
        <v>0</v>
      </c>
      <c r="AJ16" s="65"/>
      <c r="AK16" s="65"/>
      <c r="AL16" s="65">
        <f t="shared" si="10"/>
        <v>0</v>
      </c>
      <c r="AM16" s="66"/>
      <c r="AN16" s="66"/>
      <c r="AO16" s="66">
        <f t="shared" si="15"/>
        <v>0</v>
      </c>
    </row>
    <row r="17" spans="1:41" s="58" customFormat="1" ht="17.25" customHeight="1" x14ac:dyDescent="0.2">
      <c r="A17" s="64" t="s">
        <v>85</v>
      </c>
      <c r="B17" s="13"/>
      <c r="C17" s="14">
        <f t="shared" si="13"/>
        <v>0</v>
      </c>
      <c r="D17" s="14">
        <v>32000</v>
      </c>
      <c r="E17" s="3"/>
      <c r="F17" s="132"/>
      <c r="G17" s="65"/>
      <c r="H17" s="65">
        <f t="shared" si="0"/>
        <v>0</v>
      </c>
      <c r="I17" s="132"/>
      <c r="J17" s="66"/>
      <c r="K17" s="66">
        <f t="shared" si="1"/>
        <v>0</v>
      </c>
      <c r="L17" s="132"/>
      <c r="M17" s="65"/>
      <c r="N17" s="65">
        <f t="shared" si="2"/>
        <v>0</v>
      </c>
      <c r="O17" s="132">
        <v>0</v>
      </c>
      <c r="P17" s="66"/>
      <c r="Q17" s="66">
        <f t="shared" si="3"/>
        <v>0</v>
      </c>
      <c r="R17" s="132"/>
      <c r="S17" s="65"/>
      <c r="T17" s="65">
        <f t="shared" si="4"/>
        <v>0</v>
      </c>
      <c r="U17" s="132"/>
      <c r="V17" s="66"/>
      <c r="W17" s="66">
        <f t="shared" si="5"/>
        <v>0</v>
      </c>
      <c r="X17" s="132"/>
      <c r="Y17" s="65"/>
      <c r="Z17" s="65">
        <f t="shared" si="6"/>
        <v>0</v>
      </c>
      <c r="AA17" s="132"/>
      <c r="AB17" s="66"/>
      <c r="AC17" s="66">
        <f t="shared" si="7"/>
        <v>0</v>
      </c>
      <c r="AD17" s="65"/>
      <c r="AE17" s="65"/>
      <c r="AF17" s="65">
        <f t="shared" si="8"/>
        <v>0</v>
      </c>
      <c r="AG17" s="66"/>
      <c r="AH17" s="66"/>
      <c r="AI17" s="66">
        <f t="shared" si="9"/>
        <v>0</v>
      </c>
      <c r="AJ17" s="65"/>
      <c r="AK17" s="65"/>
      <c r="AL17" s="65">
        <f t="shared" si="10"/>
        <v>0</v>
      </c>
      <c r="AM17" s="66"/>
      <c r="AN17" s="66"/>
      <c r="AO17" s="66">
        <f t="shared" si="15"/>
        <v>0</v>
      </c>
    </row>
    <row r="18" spans="1:41" s="58" customFormat="1" ht="17.25" customHeight="1" x14ac:dyDescent="0.2">
      <c r="A18" s="64" t="s">
        <v>56</v>
      </c>
      <c r="B18" s="13"/>
      <c r="C18" s="14">
        <f t="shared" si="13"/>
        <v>19000</v>
      </c>
      <c r="D18" s="14">
        <v>70000</v>
      </c>
      <c r="E18" s="3"/>
      <c r="F18" s="132">
        <v>19000</v>
      </c>
      <c r="G18" s="65"/>
      <c r="H18" s="65">
        <f t="shared" si="0"/>
        <v>19000</v>
      </c>
      <c r="I18" s="132"/>
      <c r="J18" s="66"/>
      <c r="K18" s="66">
        <f t="shared" si="1"/>
        <v>0</v>
      </c>
      <c r="L18" s="132"/>
      <c r="M18" s="65"/>
      <c r="N18" s="65">
        <f t="shared" si="2"/>
        <v>0</v>
      </c>
      <c r="O18" s="132"/>
      <c r="P18" s="66"/>
      <c r="Q18" s="66">
        <f t="shared" si="3"/>
        <v>0</v>
      </c>
      <c r="R18" s="132"/>
      <c r="S18" s="65"/>
      <c r="T18" s="65">
        <f t="shared" si="4"/>
        <v>0</v>
      </c>
      <c r="U18" s="132"/>
      <c r="V18" s="66"/>
      <c r="W18" s="66">
        <f t="shared" si="5"/>
        <v>0</v>
      </c>
      <c r="X18" s="132"/>
      <c r="Y18" s="65"/>
      <c r="Z18" s="65">
        <f t="shared" si="6"/>
        <v>0</v>
      </c>
      <c r="AA18" s="132"/>
      <c r="AB18" s="66"/>
      <c r="AC18" s="66">
        <f t="shared" si="7"/>
        <v>0</v>
      </c>
      <c r="AD18" s="65"/>
      <c r="AE18" s="65"/>
      <c r="AF18" s="65">
        <f t="shared" si="8"/>
        <v>0</v>
      </c>
      <c r="AG18" s="66"/>
      <c r="AH18" s="66"/>
      <c r="AI18" s="66">
        <f t="shared" si="9"/>
        <v>0</v>
      </c>
      <c r="AJ18" s="65"/>
      <c r="AK18" s="65"/>
      <c r="AL18" s="65">
        <f t="shared" si="10"/>
        <v>0</v>
      </c>
      <c r="AM18" s="66"/>
      <c r="AN18" s="66"/>
      <c r="AO18" s="66">
        <f t="shared" si="15"/>
        <v>0</v>
      </c>
    </row>
    <row r="19" spans="1:41" s="58" customFormat="1" ht="17.25" customHeight="1" x14ac:dyDescent="0.2">
      <c r="A19" s="12" t="s">
        <v>162</v>
      </c>
      <c r="B19" s="13"/>
      <c r="C19" s="14">
        <f t="shared" si="13"/>
        <v>106231</v>
      </c>
      <c r="D19" s="14">
        <v>70000</v>
      </c>
      <c r="E19" s="3"/>
      <c r="F19" s="132">
        <v>106231</v>
      </c>
      <c r="G19" s="65"/>
      <c r="H19" s="65">
        <f t="shared" si="0"/>
        <v>106231</v>
      </c>
      <c r="I19" s="132"/>
      <c r="J19" s="66"/>
      <c r="K19" s="66">
        <f t="shared" si="1"/>
        <v>0</v>
      </c>
      <c r="L19" s="132"/>
      <c r="M19" s="65"/>
      <c r="N19" s="65">
        <f t="shared" si="2"/>
        <v>0</v>
      </c>
      <c r="O19" s="132"/>
      <c r="P19" s="66"/>
      <c r="Q19" s="66">
        <f t="shared" si="3"/>
        <v>0</v>
      </c>
      <c r="R19" s="132"/>
      <c r="S19" s="65"/>
      <c r="T19" s="65">
        <f t="shared" si="4"/>
        <v>0</v>
      </c>
      <c r="U19" s="132"/>
      <c r="V19" s="66"/>
      <c r="W19" s="66">
        <f t="shared" si="5"/>
        <v>0</v>
      </c>
      <c r="X19" s="132"/>
      <c r="Y19" s="65"/>
      <c r="Z19" s="65">
        <f t="shared" si="6"/>
        <v>0</v>
      </c>
      <c r="AA19" s="132"/>
      <c r="AB19" s="66"/>
      <c r="AC19" s="66">
        <f t="shared" si="7"/>
        <v>0</v>
      </c>
      <c r="AD19" s="65"/>
      <c r="AE19" s="65"/>
      <c r="AF19" s="65">
        <f t="shared" si="8"/>
        <v>0</v>
      </c>
      <c r="AG19" s="66"/>
      <c r="AH19" s="66"/>
      <c r="AI19" s="66">
        <f t="shared" si="9"/>
        <v>0</v>
      </c>
      <c r="AJ19" s="65"/>
      <c r="AK19" s="65"/>
      <c r="AL19" s="65">
        <f t="shared" si="10"/>
        <v>0</v>
      </c>
      <c r="AM19" s="66"/>
      <c r="AN19" s="66"/>
      <c r="AO19" s="66">
        <f t="shared" si="15"/>
        <v>0</v>
      </c>
    </row>
    <row r="20" spans="1:41" s="58" customFormat="1" ht="17.25" customHeight="1" x14ac:dyDescent="0.2">
      <c r="A20" s="12" t="s">
        <v>124</v>
      </c>
      <c r="B20" s="13"/>
      <c r="C20" s="14">
        <f t="shared" si="13"/>
        <v>225557</v>
      </c>
      <c r="D20" s="14"/>
      <c r="E20" s="3"/>
      <c r="F20" s="132">
        <v>225557</v>
      </c>
      <c r="G20" s="65"/>
      <c r="H20" s="65">
        <f t="shared" si="0"/>
        <v>225557</v>
      </c>
      <c r="I20" s="132"/>
      <c r="J20" s="66"/>
      <c r="K20" s="66">
        <f t="shared" si="1"/>
        <v>0</v>
      </c>
      <c r="L20" s="132"/>
      <c r="M20" s="65"/>
      <c r="N20" s="65">
        <f t="shared" si="2"/>
        <v>0</v>
      </c>
      <c r="O20" s="132"/>
      <c r="P20" s="66"/>
      <c r="Q20" s="66">
        <f t="shared" si="3"/>
        <v>0</v>
      </c>
      <c r="R20" s="132"/>
      <c r="S20" s="65"/>
      <c r="T20" s="65">
        <f t="shared" si="4"/>
        <v>0</v>
      </c>
      <c r="U20" s="132"/>
      <c r="V20" s="66"/>
      <c r="W20" s="66">
        <f t="shared" si="5"/>
        <v>0</v>
      </c>
      <c r="X20" s="132"/>
      <c r="Y20" s="65"/>
      <c r="Z20" s="65">
        <f t="shared" si="6"/>
        <v>0</v>
      </c>
      <c r="AA20" s="132"/>
      <c r="AB20" s="66"/>
      <c r="AC20" s="66">
        <f t="shared" si="7"/>
        <v>0</v>
      </c>
      <c r="AD20" s="65"/>
      <c r="AE20" s="65"/>
      <c r="AF20" s="65">
        <f t="shared" si="8"/>
        <v>0</v>
      </c>
      <c r="AG20" s="66"/>
      <c r="AH20" s="66"/>
      <c r="AI20" s="66">
        <f t="shared" si="9"/>
        <v>0</v>
      </c>
      <c r="AJ20" s="65"/>
      <c r="AK20" s="65"/>
      <c r="AL20" s="65">
        <f t="shared" si="10"/>
        <v>0</v>
      </c>
      <c r="AM20" s="66"/>
      <c r="AN20" s="66"/>
      <c r="AO20" s="66">
        <f t="shared" si="15"/>
        <v>0</v>
      </c>
    </row>
    <row r="21" spans="1:41" s="58" customFormat="1" ht="17.25" customHeight="1" x14ac:dyDescent="0.2">
      <c r="A21" s="64" t="s">
        <v>55</v>
      </c>
      <c r="B21" s="13"/>
      <c r="C21" s="14">
        <f t="shared" si="13"/>
        <v>279748</v>
      </c>
      <c r="D21" s="14">
        <v>20000</v>
      </c>
      <c r="E21" s="3"/>
      <c r="F21" s="132">
        <v>121663</v>
      </c>
      <c r="G21" s="65"/>
      <c r="H21" s="65">
        <f t="shared" si="0"/>
        <v>121663</v>
      </c>
      <c r="I21" s="132">
        <v>73085</v>
      </c>
      <c r="J21" s="66"/>
      <c r="K21" s="66">
        <f t="shared" si="1"/>
        <v>73085</v>
      </c>
      <c r="L21" s="132"/>
      <c r="M21" s="65"/>
      <c r="N21" s="65">
        <f t="shared" si="2"/>
        <v>0</v>
      </c>
      <c r="O21" s="133">
        <v>0</v>
      </c>
      <c r="P21" s="66"/>
      <c r="Q21" s="66">
        <f t="shared" si="3"/>
        <v>0</v>
      </c>
      <c r="R21" s="132"/>
      <c r="S21" s="65"/>
      <c r="T21" s="65">
        <f t="shared" si="4"/>
        <v>0</v>
      </c>
      <c r="U21" s="132">
        <v>0</v>
      </c>
      <c r="V21" s="66"/>
      <c r="W21" s="66">
        <f t="shared" si="5"/>
        <v>0</v>
      </c>
      <c r="X21" s="132">
        <v>85000</v>
      </c>
      <c r="Y21" s="65"/>
      <c r="Z21" s="65">
        <f t="shared" si="6"/>
        <v>85000</v>
      </c>
      <c r="AA21" s="132"/>
      <c r="AB21" s="66"/>
      <c r="AC21" s="66">
        <f t="shared" si="7"/>
        <v>0</v>
      </c>
      <c r="AD21" s="65"/>
      <c r="AE21" s="65"/>
      <c r="AF21" s="65">
        <f t="shared" si="8"/>
        <v>0</v>
      </c>
      <c r="AG21" s="66"/>
      <c r="AH21" s="66"/>
      <c r="AI21" s="66">
        <f t="shared" si="9"/>
        <v>0</v>
      </c>
      <c r="AJ21" s="65"/>
      <c r="AK21" s="65"/>
      <c r="AL21" s="65">
        <f t="shared" si="10"/>
        <v>0</v>
      </c>
      <c r="AM21" s="66"/>
      <c r="AN21" s="66"/>
      <c r="AO21" s="66">
        <f t="shared" si="15"/>
        <v>0</v>
      </c>
    </row>
    <row r="22" spans="1:41" s="58" customFormat="1" ht="17.25" x14ac:dyDescent="0.3">
      <c r="A22" s="4" t="s">
        <v>5</v>
      </c>
      <c r="B22" s="16"/>
      <c r="C22" s="17">
        <f>SUM(C7:C21)</f>
        <v>3742756</v>
      </c>
      <c r="D22" s="17">
        <f>SUM(D7:D21)</f>
        <v>380000</v>
      </c>
      <c r="E22" s="3"/>
      <c r="F22" s="67">
        <f t="shared" ref="F22:AO22" si="16">SUM(F7:F21)</f>
        <v>1578129</v>
      </c>
      <c r="G22" s="67">
        <f t="shared" si="16"/>
        <v>-200000</v>
      </c>
      <c r="H22" s="67">
        <f t="shared" si="16"/>
        <v>1378129</v>
      </c>
      <c r="I22" s="67">
        <f t="shared" si="16"/>
        <v>464881</v>
      </c>
      <c r="J22" s="67">
        <f t="shared" si="16"/>
        <v>-30395</v>
      </c>
      <c r="K22" s="67">
        <f t="shared" si="16"/>
        <v>434486</v>
      </c>
      <c r="L22" s="67">
        <f t="shared" si="16"/>
        <v>0</v>
      </c>
      <c r="M22" s="67">
        <f t="shared" si="16"/>
        <v>0</v>
      </c>
      <c r="N22" s="67">
        <f t="shared" si="16"/>
        <v>0</v>
      </c>
      <c r="O22" s="67">
        <f t="shared" si="16"/>
        <v>1087456</v>
      </c>
      <c r="P22" s="67">
        <f t="shared" si="16"/>
        <v>-380970</v>
      </c>
      <c r="Q22" s="67">
        <f t="shared" si="16"/>
        <v>706486</v>
      </c>
      <c r="R22" s="67">
        <f t="shared" si="16"/>
        <v>1074059</v>
      </c>
      <c r="S22" s="67">
        <f t="shared" si="16"/>
        <v>0</v>
      </c>
      <c r="T22" s="67">
        <f t="shared" si="16"/>
        <v>1074059</v>
      </c>
      <c r="U22" s="67">
        <f t="shared" si="16"/>
        <v>35145</v>
      </c>
      <c r="V22" s="67">
        <f t="shared" si="16"/>
        <v>-11495</v>
      </c>
      <c r="W22" s="67">
        <f t="shared" si="16"/>
        <v>23650</v>
      </c>
      <c r="X22" s="67">
        <f t="shared" si="16"/>
        <v>100600</v>
      </c>
      <c r="Y22" s="67">
        <f t="shared" si="16"/>
        <v>0</v>
      </c>
      <c r="Z22" s="67">
        <f t="shared" si="16"/>
        <v>100600</v>
      </c>
      <c r="AA22" s="67">
        <f t="shared" si="16"/>
        <v>31116</v>
      </c>
      <c r="AB22" s="67">
        <f t="shared" si="16"/>
        <v>-8570</v>
      </c>
      <c r="AC22" s="67">
        <f t="shared" si="16"/>
        <v>22546</v>
      </c>
      <c r="AD22" s="67">
        <f t="shared" si="16"/>
        <v>2800</v>
      </c>
      <c r="AE22" s="67">
        <f t="shared" si="16"/>
        <v>0</v>
      </c>
      <c r="AF22" s="67">
        <f t="shared" si="16"/>
        <v>2800</v>
      </c>
      <c r="AG22" s="67">
        <f t="shared" si="16"/>
        <v>0</v>
      </c>
      <c r="AH22" s="67">
        <f t="shared" si="16"/>
        <v>0</v>
      </c>
      <c r="AI22" s="67">
        <f t="shared" si="16"/>
        <v>0</v>
      </c>
      <c r="AJ22" s="67">
        <f t="shared" si="16"/>
        <v>0</v>
      </c>
      <c r="AK22" s="67">
        <f t="shared" si="16"/>
        <v>0</v>
      </c>
      <c r="AL22" s="67">
        <f t="shared" si="16"/>
        <v>0</v>
      </c>
      <c r="AM22" s="67">
        <f t="shared" si="16"/>
        <v>0</v>
      </c>
      <c r="AN22" s="67">
        <f t="shared" si="16"/>
        <v>0</v>
      </c>
      <c r="AO22" s="67">
        <f t="shared" si="16"/>
        <v>0</v>
      </c>
    </row>
    <row r="23" spans="1:41" s="58" customFormat="1" ht="21.95" customHeight="1" x14ac:dyDescent="0.3">
      <c r="A23" s="15"/>
      <c r="B23" s="16"/>
      <c r="C23" s="18"/>
      <c r="D23" s="18"/>
      <c r="E23" s="3"/>
      <c r="F23" s="65"/>
      <c r="G23" s="65"/>
      <c r="H23" s="65"/>
      <c r="I23" s="66"/>
      <c r="J23" s="66"/>
      <c r="K23" s="66"/>
      <c r="L23" s="65"/>
      <c r="M23" s="65"/>
      <c r="N23" s="65"/>
      <c r="O23" s="66"/>
      <c r="P23" s="66"/>
      <c r="Q23" s="66"/>
      <c r="R23" s="65"/>
      <c r="S23" s="65"/>
      <c r="T23" s="65"/>
      <c r="U23" s="66"/>
      <c r="V23" s="66"/>
      <c r="W23" s="66"/>
      <c r="X23" s="65"/>
      <c r="Y23" s="65"/>
      <c r="Z23" s="65"/>
      <c r="AA23" s="66"/>
      <c r="AB23" s="66"/>
      <c r="AC23" s="66"/>
      <c r="AD23" s="65"/>
      <c r="AE23" s="65"/>
      <c r="AF23" s="65"/>
      <c r="AG23" s="66"/>
      <c r="AH23" s="66"/>
      <c r="AI23" s="66"/>
      <c r="AJ23" s="65"/>
      <c r="AK23" s="65"/>
      <c r="AL23" s="65"/>
      <c r="AM23" s="66"/>
      <c r="AN23" s="66"/>
      <c r="AO23" s="66"/>
    </row>
    <row r="24" spans="1:41" s="58" customFormat="1" ht="17.25" x14ac:dyDescent="0.3">
      <c r="A24" s="4" t="s">
        <v>6</v>
      </c>
      <c r="B24" s="16"/>
      <c r="C24" s="19"/>
      <c r="D24" s="19"/>
      <c r="E24" s="3"/>
      <c r="F24" s="65"/>
      <c r="G24" s="65"/>
      <c r="H24" s="65"/>
      <c r="I24" s="66"/>
      <c r="J24" s="66"/>
      <c r="K24" s="66"/>
      <c r="L24" s="65"/>
      <c r="M24" s="65"/>
      <c r="N24" s="65"/>
      <c r="O24" s="66"/>
      <c r="P24" s="66"/>
      <c r="Q24" s="66"/>
      <c r="R24" s="65"/>
      <c r="S24" s="65"/>
      <c r="T24" s="65"/>
      <c r="U24" s="66"/>
      <c r="V24" s="66"/>
      <c r="W24" s="66"/>
      <c r="X24" s="65"/>
      <c r="Y24" s="65"/>
      <c r="Z24" s="65"/>
      <c r="AA24" s="66"/>
      <c r="AB24" s="66"/>
      <c r="AC24" s="66"/>
      <c r="AD24" s="65"/>
      <c r="AE24" s="65"/>
      <c r="AF24" s="65"/>
      <c r="AG24" s="66"/>
      <c r="AH24" s="66"/>
      <c r="AI24" s="66"/>
      <c r="AJ24" s="65"/>
      <c r="AK24" s="65"/>
      <c r="AL24" s="65"/>
      <c r="AM24" s="66"/>
      <c r="AN24" s="66"/>
      <c r="AO24" s="66"/>
    </row>
    <row r="25" spans="1:41" s="58" customFormat="1" ht="9.9499999999999993" customHeight="1" x14ac:dyDescent="0.3">
      <c r="A25" s="15"/>
      <c r="B25" s="16"/>
      <c r="C25" s="19"/>
      <c r="D25" s="19"/>
      <c r="E25" s="3"/>
      <c r="F25" s="65"/>
      <c r="G25" s="65"/>
      <c r="H25" s="65"/>
      <c r="I25" s="66"/>
      <c r="J25" s="66"/>
      <c r="K25" s="66"/>
      <c r="L25" s="65"/>
      <c r="M25" s="65"/>
      <c r="N25" s="65"/>
      <c r="O25" s="66"/>
      <c r="P25" s="66"/>
      <c r="Q25" s="66"/>
      <c r="R25" s="65"/>
      <c r="S25" s="65"/>
      <c r="T25" s="65"/>
      <c r="U25" s="66"/>
      <c r="V25" s="66"/>
      <c r="W25" s="66"/>
      <c r="X25" s="65"/>
      <c r="Y25" s="65"/>
      <c r="Z25" s="65"/>
      <c r="AA25" s="66"/>
      <c r="AB25" s="66"/>
      <c r="AC25" s="66"/>
      <c r="AD25" s="65"/>
      <c r="AE25" s="65"/>
      <c r="AF25" s="65"/>
      <c r="AG25" s="66"/>
      <c r="AH25" s="66"/>
      <c r="AI25" s="66"/>
      <c r="AJ25" s="65"/>
      <c r="AK25" s="65"/>
      <c r="AL25" s="65"/>
      <c r="AM25" s="66"/>
      <c r="AN25" s="66"/>
      <c r="AO25" s="66"/>
    </row>
    <row r="26" spans="1:41" s="58" customFormat="1" ht="16.5" customHeight="1" x14ac:dyDescent="0.3">
      <c r="A26" s="68" t="s">
        <v>89</v>
      </c>
      <c r="B26" s="16"/>
      <c r="C26" s="14">
        <f>H26+K26+N26+Q26+T26+W26+Z26+AC26+AF26+AI26+AL26+AO26</f>
        <v>248561</v>
      </c>
      <c r="D26" s="19"/>
      <c r="E26" s="3"/>
      <c r="F26" s="132">
        <v>0</v>
      </c>
      <c r="G26" s="65"/>
      <c r="H26" s="65">
        <f t="shared" si="0"/>
        <v>0</v>
      </c>
      <c r="I26" s="132">
        <v>48371</v>
      </c>
      <c r="J26" s="66"/>
      <c r="K26" s="66">
        <f t="shared" si="1"/>
        <v>48371</v>
      </c>
      <c r="L26" s="132"/>
      <c r="M26" s="65"/>
      <c r="N26" s="65">
        <f t="shared" si="2"/>
        <v>0</v>
      </c>
      <c r="O26" s="132">
        <v>30594</v>
      </c>
      <c r="P26" s="66"/>
      <c r="Q26" s="66">
        <f t="shared" si="3"/>
        <v>30594</v>
      </c>
      <c r="R26" s="132">
        <v>169596</v>
      </c>
      <c r="S26" s="65"/>
      <c r="T26" s="65">
        <f t="shared" si="4"/>
        <v>169596</v>
      </c>
      <c r="U26" s="132">
        <v>0</v>
      </c>
      <c r="V26" s="66"/>
      <c r="W26" s="66">
        <f t="shared" si="5"/>
        <v>0</v>
      </c>
      <c r="X26" s="132"/>
      <c r="Y26" s="65"/>
      <c r="Z26" s="65">
        <f t="shared" si="6"/>
        <v>0</v>
      </c>
      <c r="AA26" s="132"/>
      <c r="AB26" s="66"/>
      <c r="AC26" s="66">
        <f t="shared" si="7"/>
        <v>0</v>
      </c>
      <c r="AD26" s="65"/>
      <c r="AE26" s="65"/>
      <c r="AF26" s="65">
        <f t="shared" si="8"/>
        <v>0</v>
      </c>
      <c r="AG26" s="66"/>
      <c r="AH26" s="66"/>
      <c r="AI26" s="66">
        <f t="shared" si="9"/>
        <v>0</v>
      </c>
      <c r="AJ26" s="65"/>
      <c r="AK26" s="65"/>
      <c r="AL26" s="65">
        <f t="shared" si="10"/>
        <v>0</v>
      </c>
      <c r="AM26" s="66"/>
      <c r="AN26" s="66"/>
      <c r="AO26" s="66">
        <f t="shared" ref="AO26:AO30" si="17">AM26+AN26</f>
        <v>0</v>
      </c>
    </row>
    <row r="27" spans="1:41" s="58" customFormat="1" ht="16.5" customHeight="1" x14ac:dyDescent="0.3">
      <c r="A27" s="68" t="s">
        <v>60</v>
      </c>
      <c r="B27" s="16"/>
      <c r="C27" s="14">
        <f>H27+K27+N27+Q27+T27+W27+Z27+AC27+AF27+AI27+AL27+AO27</f>
        <v>992134</v>
      </c>
      <c r="D27" s="19">
        <v>35000</v>
      </c>
      <c r="E27" s="3"/>
      <c r="F27" s="132">
        <v>447700</v>
      </c>
      <c r="G27" s="65"/>
      <c r="H27" s="65">
        <f t="shared" si="0"/>
        <v>447700</v>
      </c>
      <c r="I27" s="132">
        <v>38816</v>
      </c>
      <c r="J27" s="66"/>
      <c r="K27" s="66">
        <f t="shared" si="1"/>
        <v>38816</v>
      </c>
      <c r="L27" s="132">
        <v>0</v>
      </c>
      <c r="M27" s="65"/>
      <c r="N27" s="65">
        <f t="shared" si="2"/>
        <v>0</v>
      </c>
      <c r="O27" s="132">
        <v>417738</v>
      </c>
      <c r="P27" s="66"/>
      <c r="Q27" s="66">
        <f t="shared" si="3"/>
        <v>417738</v>
      </c>
      <c r="R27" s="132">
        <v>77880</v>
      </c>
      <c r="S27" s="65"/>
      <c r="T27" s="65">
        <f t="shared" si="4"/>
        <v>77880</v>
      </c>
      <c r="U27" s="132"/>
      <c r="V27" s="66"/>
      <c r="W27" s="66">
        <f t="shared" si="5"/>
        <v>0</v>
      </c>
      <c r="X27" s="132">
        <v>4000</v>
      </c>
      <c r="Y27" s="65"/>
      <c r="Z27" s="65">
        <f t="shared" si="6"/>
        <v>4000</v>
      </c>
      <c r="AA27" s="132">
        <v>6000</v>
      </c>
      <c r="AB27" s="66"/>
      <c r="AC27" s="66">
        <f t="shared" si="7"/>
        <v>6000</v>
      </c>
      <c r="AD27" s="65"/>
      <c r="AE27" s="65"/>
      <c r="AF27" s="65">
        <f t="shared" si="8"/>
        <v>0</v>
      </c>
      <c r="AG27" s="66"/>
      <c r="AH27" s="66"/>
      <c r="AI27" s="66">
        <f t="shared" si="9"/>
        <v>0</v>
      </c>
      <c r="AJ27" s="65"/>
      <c r="AK27" s="65"/>
      <c r="AL27" s="65">
        <f t="shared" si="10"/>
        <v>0</v>
      </c>
      <c r="AM27" s="66"/>
      <c r="AN27" s="66"/>
      <c r="AO27" s="66">
        <f t="shared" si="17"/>
        <v>0</v>
      </c>
    </row>
    <row r="28" spans="1:41" s="58" customFormat="1" ht="16.5" customHeight="1" x14ac:dyDescent="0.3">
      <c r="A28" s="68" t="s">
        <v>62</v>
      </c>
      <c r="B28" s="16"/>
      <c r="C28" s="14">
        <f>H28+K28+N28+Q28+T28+W28+Z28+AC28+AF28+AI28+AL28+AO28</f>
        <v>90471</v>
      </c>
      <c r="D28" s="19">
        <v>0</v>
      </c>
      <c r="E28" s="3"/>
      <c r="F28" s="132">
        <v>81800</v>
      </c>
      <c r="G28" s="65"/>
      <c r="H28" s="65">
        <f t="shared" si="0"/>
        <v>81800</v>
      </c>
      <c r="I28" s="132"/>
      <c r="J28" s="66"/>
      <c r="K28" s="66">
        <f t="shared" si="1"/>
        <v>0</v>
      </c>
      <c r="L28" s="132"/>
      <c r="M28" s="65"/>
      <c r="N28" s="65">
        <f t="shared" si="2"/>
        <v>0</v>
      </c>
      <c r="O28" s="132">
        <v>4171</v>
      </c>
      <c r="P28" s="66"/>
      <c r="Q28" s="66">
        <f t="shared" si="3"/>
        <v>4171</v>
      </c>
      <c r="R28" s="132">
        <v>4500</v>
      </c>
      <c r="S28" s="65"/>
      <c r="T28" s="65">
        <f t="shared" si="4"/>
        <v>4500</v>
      </c>
      <c r="U28" s="132"/>
      <c r="V28" s="66"/>
      <c r="W28" s="66">
        <f t="shared" si="5"/>
        <v>0</v>
      </c>
      <c r="X28" s="132"/>
      <c r="Y28" s="65"/>
      <c r="Z28" s="65">
        <f t="shared" si="6"/>
        <v>0</v>
      </c>
      <c r="AA28" s="132"/>
      <c r="AB28" s="66"/>
      <c r="AC28" s="66">
        <f t="shared" si="7"/>
        <v>0</v>
      </c>
      <c r="AD28" s="65"/>
      <c r="AE28" s="65"/>
      <c r="AF28" s="65">
        <f t="shared" si="8"/>
        <v>0</v>
      </c>
      <c r="AG28" s="66"/>
      <c r="AH28" s="66"/>
      <c r="AI28" s="66">
        <f t="shared" si="9"/>
        <v>0</v>
      </c>
      <c r="AJ28" s="65"/>
      <c r="AK28" s="65"/>
      <c r="AL28" s="65">
        <f t="shared" si="10"/>
        <v>0</v>
      </c>
      <c r="AM28" s="66"/>
      <c r="AN28" s="66"/>
      <c r="AO28" s="66">
        <f t="shared" si="17"/>
        <v>0</v>
      </c>
    </row>
    <row r="29" spans="1:41" s="58" customFormat="1" ht="16.5" customHeight="1" x14ac:dyDescent="0.3">
      <c r="A29" s="68" t="s">
        <v>61</v>
      </c>
      <c r="B29" s="16"/>
      <c r="C29" s="14">
        <f>H29+K29+N29+Q29+T29+W29+Z29+AC29+AF29+AI29+AL29+AO29</f>
        <v>143048</v>
      </c>
      <c r="D29" s="19">
        <v>45000</v>
      </c>
      <c r="E29" s="3"/>
      <c r="F29" s="132">
        <v>143048</v>
      </c>
      <c r="G29" s="65"/>
      <c r="H29" s="65">
        <f t="shared" si="0"/>
        <v>143048</v>
      </c>
      <c r="I29" s="132"/>
      <c r="J29" s="66"/>
      <c r="K29" s="66">
        <f t="shared" si="1"/>
        <v>0</v>
      </c>
      <c r="L29" s="132"/>
      <c r="M29" s="65"/>
      <c r="N29" s="65">
        <f t="shared" si="2"/>
        <v>0</v>
      </c>
      <c r="O29" s="132"/>
      <c r="P29" s="66"/>
      <c r="Q29" s="66">
        <f t="shared" si="3"/>
        <v>0</v>
      </c>
      <c r="R29" s="132"/>
      <c r="S29" s="65"/>
      <c r="T29" s="65">
        <f t="shared" si="4"/>
        <v>0</v>
      </c>
      <c r="U29" s="132"/>
      <c r="V29" s="66"/>
      <c r="W29" s="66">
        <f t="shared" si="5"/>
        <v>0</v>
      </c>
      <c r="X29" s="132"/>
      <c r="Y29" s="65"/>
      <c r="Z29" s="65">
        <f t="shared" si="6"/>
        <v>0</v>
      </c>
      <c r="AA29" s="132"/>
      <c r="AB29" s="66"/>
      <c r="AC29" s="66">
        <f t="shared" si="7"/>
        <v>0</v>
      </c>
      <c r="AD29" s="65"/>
      <c r="AE29" s="65"/>
      <c r="AF29" s="65">
        <f t="shared" si="8"/>
        <v>0</v>
      </c>
      <c r="AG29" s="66"/>
      <c r="AH29" s="66"/>
      <c r="AI29" s="66">
        <f t="shared" si="9"/>
        <v>0</v>
      </c>
      <c r="AJ29" s="65"/>
      <c r="AK29" s="65"/>
      <c r="AL29" s="65">
        <f t="shared" si="10"/>
        <v>0</v>
      </c>
      <c r="AM29" s="66"/>
      <c r="AN29" s="66"/>
      <c r="AO29" s="66">
        <f t="shared" si="17"/>
        <v>0</v>
      </c>
    </row>
    <row r="30" spans="1:41" s="58" customFormat="1" ht="17.25" x14ac:dyDescent="0.3">
      <c r="A30" s="68" t="s">
        <v>63</v>
      </c>
      <c r="B30" s="16"/>
      <c r="C30" s="14">
        <f>H30+K30+N30+Q30+T30+W30+Z30+AC30+AF30+AI30+AL30+AO30</f>
        <v>1839101</v>
      </c>
      <c r="D30" s="19">
        <v>20000</v>
      </c>
      <c r="E30" s="3"/>
      <c r="F30" s="132">
        <f>518027+14418+100430</f>
        <v>632875</v>
      </c>
      <c r="G30" s="120">
        <v>-100430</v>
      </c>
      <c r="H30" s="65">
        <f t="shared" si="0"/>
        <v>532445</v>
      </c>
      <c r="I30" s="132">
        <v>384773</v>
      </c>
      <c r="J30" s="66"/>
      <c r="K30" s="66">
        <f t="shared" si="1"/>
        <v>384773</v>
      </c>
      <c r="L30" s="132"/>
      <c r="M30" s="65"/>
      <c r="N30" s="65">
        <f t="shared" si="2"/>
        <v>0</v>
      </c>
      <c r="O30" s="132">
        <f>514100+100000</f>
        <v>614100</v>
      </c>
      <c r="P30" s="120">
        <v>-100000</v>
      </c>
      <c r="Q30" s="66">
        <f t="shared" si="3"/>
        <v>514100</v>
      </c>
      <c r="R30" s="132">
        <v>255244</v>
      </c>
      <c r="S30" s="120"/>
      <c r="T30" s="65">
        <f t="shared" si="4"/>
        <v>255244</v>
      </c>
      <c r="U30" s="132">
        <v>49043</v>
      </c>
      <c r="V30" s="66"/>
      <c r="W30" s="66">
        <f t="shared" si="5"/>
        <v>49043</v>
      </c>
      <c r="X30" s="132">
        <v>93898</v>
      </c>
      <c r="Y30" s="65"/>
      <c r="Z30" s="65">
        <f t="shared" si="6"/>
        <v>93898</v>
      </c>
      <c r="AA30" s="132">
        <v>9383</v>
      </c>
      <c r="AB30" s="66"/>
      <c r="AC30" s="66">
        <f t="shared" si="7"/>
        <v>9383</v>
      </c>
      <c r="AD30" s="65">
        <v>215</v>
      </c>
      <c r="AE30" s="120"/>
      <c r="AF30" s="65">
        <f t="shared" si="8"/>
        <v>215</v>
      </c>
      <c r="AG30" s="66"/>
      <c r="AH30" s="66"/>
      <c r="AI30" s="66">
        <f t="shared" si="9"/>
        <v>0</v>
      </c>
      <c r="AJ30" s="65"/>
      <c r="AK30" s="65"/>
      <c r="AL30" s="65">
        <f t="shared" si="10"/>
        <v>0</v>
      </c>
      <c r="AM30" s="66"/>
      <c r="AN30" s="66"/>
      <c r="AO30" s="66">
        <f t="shared" si="17"/>
        <v>0</v>
      </c>
    </row>
    <row r="31" spans="1:41" s="58" customFormat="1" ht="17.25" x14ac:dyDescent="0.3">
      <c r="A31" s="4" t="s">
        <v>7</v>
      </c>
      <c r="B31" s="16"/>
      <c r="C31" s="17">
        <f>SUM(C26:C30)</f>
        <v>3313315</v>
      </c>
      <c r="D31" s="17">
        <f>SUM(D27:D30)</f>
        <v>100000</v>
      </c>
      <c r="E31" s="3"/>
      <c r="F31" s="17">
        <f t="shared" ref="F31:AO31" si="18">SUM(F26:F30)</f>
        <v>1305423</v>
      </c>
      <c r="G31" s="17">
        <f t="shared" si="18"/>
        <v>-100430</v>
      </c>
      <c r="H31" s="17">
        <f t="shared" si="18"/>
        <v>1204993</v>
      </c>
      <c r="I31" s="17">
        <f t="shared" si="18"/>
        <v>471960</v>
      </c>
      <c r="J31" s="17">
        <f t="shared" si="18"/>
        <v>0</v>
      </c>
      <c r="K31" s="17">
        <f t="shared" si="18"/>
        <v>471960</v>
      </c>
      <c r="L31" s="17">
        <f t="shared" si="18"/>
        <v>0</v>
      </c>
      <c r="M31" s="17">
        <f t="shared" si="18"/>
        <v>0</v>
      </c>
      <c r="N31" s="17">
        <f t="shared" si="18"/>
        <v>0</v>
      </c>
      <c r="O31" s="17">
        <f t="shared" si="18"/>
        <v>1066603</v>
      </c>
      <c r="P31" s="17">
        <f t="shared" si="18"/>
        <v>-100000</v>
      </c>
      <c r="Q31" s="17">
        <f t="shared" si="18"/>
        <v>966603</v>
      </c>
      <c r="R31" s="17">
        <f t="shared" si="18"/>
        <v>507220</v>
      </c>
      <c r="S31" s="17">
        <f t="shared" si="18"/>
        <v>0</v>
      </c>
      <c r="T31" s="17">
        <f t="shared" si="18"/>
        <v>507220</v>
      </c>
      <c r="U31" s="17">
        <f t="shared" si="18"/>
        <v>49043</v>
      </c>
      <c r="V31" s="17">
        <f t="shared" si="18"/>
        <v>0</v>
      </c>
      <c r="W31" s="17">
        <f t="shared" si="18"/>
        <v>49043</v>
      </c>
      <c r="X31" s="17">
        <f t="shared" si="18"/>
        <v>97898</v>
      </c>
      <c r="Y31" s="17">
        <f t="shared" si="18"/>
        <v>0</v>
      </c>
      <c r="Z31" s="17">
        <f t="shared" si="18"/>
        <v>97898</v>
      </c>
      <c r="AA31" s="17">
        <f t="shared" si="18"/>
        <v>15383</v>
      </c>
      <c r="AB31" s="17">
        <f t="shared" si="18"/>
        <v>0</v>
      </c>
      <c r="AC31" s="17">
        <f t="shared" si="18"/>
        <v>15383</v>
      </c>
      <c r="AD31" s="17">
        <f t="shared" si="18"/>
        <v>215</v>
      </c>
      <c r="AE31" s="17">
        <f t="shared" si="18"/>
        <v>0</v>
      </c>
      <c r="AF31" s="17">
        <f t="shared" si="18"/>
        <v>215</v>
      </c>
      <c r="AG31" s="17">
        <f t="shared" si="18"/>
        <v>0</v>
      </c>
      <c r="AH31" s="17">
        <f t="shared" si="18"/>
        <v>0</v>
      </c>
      <c r="AI31" s="17">
        <f t="shared" si="18"/>
        <v>0</v>
      </c>
      <c r="AJ31" s="17">
        <f t="shared" si="18"/>
        <v>0</v>
      </c>
      <c r="AK31" s="17">
        <f t="shared" si="18"/>
        <v>0</v>
      </c>
      <c r="AL31" s="17">
        <f t="shared" si="18"/>
        <v>0</v>
      </c>
      <c r="AM31" s="17">
        <f t="shared" si="18"/>
        <v>0</v>
      </c>
      <c r="AN31" s="17">
        <f t="shared" si="18"/>
        <v>0</v>
      </c>
      <c r="AO31" s="17">
        <f t="shared" si="18"/>
        <v>0</v>
      </c>
    </row>
    <row r="32" spans="1:41" s="58" customFormat="1" ht="17.25" x14ac:dyDescent="0.3">
      <c r="A32" s="15"/>
      <c r="B32" s="16"/>
      <c r="C32" s="20"/>
      <c r="D32" s="20"/>
      <c r="E32" s="3"/>
      <c r="F32" s="65"/>
      <c r="G32" s="65"/>
      <c r="H32" s="65">
        <f t="shared" si="0"/>
        <v>0</v>
      </c>
      <c r="I32" s="66"/>
      <c r="J32" s="66"/>
      <c r="K32" s="66">
        <f t="shared" si="1"/>
        <v>0</v>
      </c>
      <c r="L32" s="65"/>
      <c r="M32" s="65"/>
      <c r="N32" s="65">
        <f t="shared" si="2"/>
        <v>0</v>
      </c>
      <c r="O32" s="66"/>
      <c r="P32" s="66"/>
      <c r="Q32" s="66">
        <f t="shared" si="3"/>
        <v>0</v>
      </c>
      <c r="R32" s="65"/>
      <c r="S32" s="65"/>
      <c r="T32" s="65">
        <f t="shared" si="4"/>
        <v>0</v>
      </c>
      <c r="U32" s="66"/>
      <c r="V32" s="66"/>
      <c r="W32" s="66">
        <f t="shared" si="5"/>
        <v>0</v>
      </c>
      <c r="X32" s="65"/>
      <c r="Y32" s="65"/>
      <c r="Z32" s="65">
        <f t="shared" si="6"/>
        <v>0</v>
      </c>
      <c r="AA32" s="66"/>
      <c r="AB32" s="66"/>
      <c r="AC32" s="66">
        <f t="shared" si="7"/>
        <v>0</v>
      </c>
      <c r="AD32" s="65"/>
      <c r="AE32" s="65"/>
      <c r="AF32" s="65">
        <f t="shared" si="8"/>
        <v>0</v>
      </c>
      <c r="AG32" s="66"/>
      <c r="AH32" s="66"/>
      <c r="AI32" s="66">
        <f t="shared" si="9"/>
        <v>0</v>
      </c>
      <c r="AJ32" s="65"/>
      <c r="AK32" s="65"/>
      <c r="AL32" s="65">
        <f t="shared" si="10"/>
        <v>0</v>
      </c>
      <c r="AM32" s="66"/>
      <c r="AN32" s="66"/>
      <c r="AO32" s="66">
        <f t="shared" ref="AO32" si="19">AM32+AN32</f>
        <v>0</v>
      </c>
    </row>
    <row r="33" spans="1:41" s="58" customFormat="1" ht="17.25" x14ac:dyDescent="0.3">
      <c r="A33" s="4" t="s">
        <v>8</v>
      </c>
      <c r="B33" s="16"/>
      <c r="C33" s="21">
        <f>C22-C31</f>
        <v>429441</v>
      </c>
      <c r="D33" s="21">
        <f>D22-D31</f>
        <v>280000</v>
      </c>
      <c r="E33" s="3"/>
      <c r="F33" s="21">
        <f t="shared" ref="F33:AO33" si="20">F22-F31</f>
        <v>272706</v>
      </c>
      <c r="G33" s="21">
        <f t="shared" si="20"/>
        <v>-99570</v>
      </c>
      <c r="H33" s="21">
        <f t="shared" si="20"/>
        <v>173136</v>
      </c>
      <c r="I33" s="21">
        <f t="shared" si="20"/>
        <v>-7079</v>
      </c>
      <c r="J33" s="21">
        <f t="shared" si="20"/>
        <v>-30395</v>
      </c>
      <c r="K33" s="21">
        <f t="shared" si="20"/>
        <v>-37474</v>
      </c>
      <c r="L33" s="21">
        <f t="shared" si="20"/>
        <v>0</v>
      </c>
      <c r="M33" s="21">
        <f t="shared" si="20"/>
        <v>0</v>
      </c>
      <c r="N33" s="21">
        <f t="shared" si="20"/>
        <v>0</v>
      </c>
      <c r="O33" s="21">
        <f t="shared" si="20"/>
        <v>20853</v>
      </c>
      <c r="P33" s="21">
        <f t="shared" si="20"/>
        <v>-280970</v>
      </c>
      <c r="Q33" s="21">
        <f t="shared" si="20"/>
        <v>-260117</v>
      </c>
      <c r="R33" s="21">
        <f t="shared" si="20"/>
        <v>566839</v>
      </c>
      <c r="S33" s="21">
        <f t="shared" si="20"/>
        <v>0</v>
      </c>
      <c r="T33" s="21">
        <f t="shared" si="20"/>
        <v>566839</v>
      </c>
      <c r="U33" s="21">
        <f t="shared" si="20"/>
        <v>-13898</v>
      </c>
      <c r="V33" s="21">
        <f t="shared" si="20"/>
        <v>-11495</v>
      </c>
      <c r="W33" s="21">
        <f t="shared" si="20"/>
        <v>-25393</v>
      </c>
      <c r="X33" s="21">
        <f t="shared" si="20"/>
        <v>2702</v>
      </c>
      <c r="Y33" s="21">
        <f t="shared" si="20"/>
        <v>0</v>
      </c>
      <c r="Z33" s="21">
        <f t="shared" si="20"/>
        <v>2702</v>
      </c>
      <c r="AA33" s="21">
        <f t="shared" si="20"/>
        <v>15733</v>
      </c>
      <c r="AB33" s="21">
        <f t="shared" si="20"/>
        <v>-8570</v>
      </c>
      <c r="AC33" s="21">
        <f t="shared" si="20"/>
        <v>7163</v>
      </c>
      <c r="AD33" s="21">
        <f t="shared" si="20"/>
        <v>2585</v>
      </c>
      <c r="AE33" s="21">
        <f t="shared" si="20"/>
        <v>0</v>
      </c>
      <c r="AF33" s="21">
        <f t="shared" si="20"/>
        <v>2585</v>
      </c>
      <c r="AG33" s="21">
        <f t="shared" si="20"/>
        <v>0</v>
      </c>
      <c r="AH33" s="21">
        <f t="shared" si="20"/>
        <v>0</v>
      </c>
      <c r="AI33" s="21">
        <f t="shared" si="20"/>
        <v>0</v>
      </c>
      <c r="AJ33" s="21">
        <f t="shared" si="20"/>
        <v>0</v>
      </c>
      <c r="AK33" s="21">
        <f t="shared" si="20"/>
        <v>0</v>
      </c>
      <c r="AL33" s="21">
        <f t="shared" si="20"/>
        <v>0</v>
      </c>
      <c r="AM33" s="21">
        <f t="shared" si="20"/>
        <v>0</v>
      </c>
      <c r="AN33" s="21">
        <f t="shared" si="20"/>
        <v>0</v>
      </c>
      <c r="AO33" s="21">
        <f t="shared" si="20"/>
        <v>0</v>
      </c>
    </row>
    <row r="34" spans="1:41" s="58" customFormat="1" ht="23.1" customHeight="1" x14ac:dyDescent="0.3">
      <c r="A34" s="22"/>
      <c r="B34" s="16"/>
      <c r="C34" s="18"/>
      <c r="D34" s="18"/>
      <c r="E34" s="3"/>
      <c r="F34" s="65"/>
      <c r="G34" s="65"/>
      <c r="H34" s="65"/>
      <c r="I34" s="66"/>
      <c r="J34" s="66"/>
      <c r="K34" s="66"/>
      <c r="L34" s="65"/>
      <c r="M34" s="65"/>
      <c r="N34" s="65"/>
      <c r="O34" s="66"/>
      <c r="P34" s="66"/>
      <c r="Q34" s="66"/>
      <c r="R34" s="65"/>
      <c r="S34" s="65"/>
      <c r="T34" s="65"/>
      <c r="U34" s="66"/>
      <c r="V34" s="66"/>
      <c r="W34" s="66"/>
      <c r="X34" s="65"/>
      <c r="Y34" s="65"/>
      <c r="Z34" s="65"/>
      <c r="AA34" s="66"/>
      <c r="AB34" s="66"/>
      <c r="AC34" s="66"/>
      <c r="AD34" s="65"/>
      <c r="AE34" s="65"/>
      <c r="AF34" s="65"/>
      <c r="AG34" s="66"/>
      <c r="AH34" s="66"/>
      <c r="AI34" s="66"/>
      <c r="AJ34" s="65"/>
      <c r="AK34" s="65"/>
      <c r="AL34" s="65"/>
      <c r="AM34" s="66"/>
      <c r="AN34" s="66"/>
      <c r="AO34" s="66"/>
    </row>
    <row r="35" spans="1:41" s="58" customFormat="1" ht="17.25" x14ac:dyDescent="0.3">
      <c r="A35" s="4" t="s">
        <v>9</v>
      </c>
      <c r="B35" s="16"/>
      <c r="C35" s="19"/>
      <c r="D35" s="19"/>
      <c r="E35" s="3"/>
      <c r="F35" s="65"/>
      <c r="G35" s="65"/>
      <c r="H35" s="65"/>
      <c r="I35" s="66"/>
      <c r="J35" s="66"/>
      <c r="K35" s="66"/>
      <c r="L35" s="65"/>
      <c r="M35" s="65"/>
      <c r="N35" s="65"/>
      <c r="O35" s="66"/>
      <c r="P35" s="66"/>
      <c r="Q35" s="66"/>
      <c r="R35" s="65"/>
      <c r="S35" s="65"/>
      <c r="T35" s="65"/>
      <c r="U35" s="66"/>
      <c r="V35" s="66"/>
      <c r="W35" s="66"/>
      <c r="X35" s="65"/>
      <c r="Y35" s="65"/>
      <c r="Z35" s="65"/>
      <c r="AA35" s="66"/>
      <c r="AB35" s="66"/>
      <c r="AC35" s="66"/>
      <c r="AD35" s="65"/>
      <c r="AE35" s="65"/>
      <c r="AF35" s="65"/>
      <c r="AG35" s="66"/>
      <c r="AH35" s="66"/>
      <c r="AI35" s="66"/>
      <c r="AJ35" s="65"/>
      <c r="AK35" s="65"/>
      <c r="AL35" s="65"/>
      <c r="AM35" s="66"/>
      <c r="AN35" s="66"/>
      <c r="AO35" s="66"/>
    </row>
    <row r="36" spans="1:41" s="58" customFormat="1" ht="9.9499999999999993" customHeight="1" x14ac:dyDescent="0.3">
      <c r="A36" s="4"/>
      <c r="B36" s="16"/>
      <c r="C36" s="19"/>
      <c r="D36" s="19"/>
      <c r="E36" s="3"/>
      <c r="F36" s="65"/>
      <c r="G36" s="65"/>
      <c r="H36" s="65"/>
      <c r="I36" s="66"/>
      <c r="J36" s="66"/>
      <c r="K36" s="66"/>
      <c r="L36" s="65"/>
      <c r="M36" s="65"/>
      <c r="N36" s="65"/>
      <c r="O36" s="66"/>
      <c r="P36" s="66"/>
      <c r="Q36" s="66"/>
      <c r="R36" s="65"/>
      <c r="S36" s="65"/>
      <c r="T36" s="65"/>
      <c r="U36" s="66"/>
      <c r="V36" s="66"/>
      <c r="W36" s="66"/>
      <c r="X36" s="65"/>
      <c r="Y36" s="65"/>
      <c r="Z36" s="65"/>
      <c r="AA36" s="66"/>
      <c r="AB36" s="66"/>
      <c r="AC36" s="66"/>
      <c r="AD36" s="65"/>
      <c r="AE36" s="65"/>
      <c r="AF36" s="65"/>
      <c r="AG36" s="66"/>
      <c r="AH36" s="66"/>
      <c r="AI36" s="66"/>
      <c r="AJ36" s="65"/>
      <c r="AK36" s="65"/>
      <c r="AL36" s="65"/>
      <c r="AM36" s="66"/>
      <c r="AN36" s="66"/>
      <c r="AO36" s="66"/>
    </row>
    <row r="37" spans="1:41" s="58" customFormat="1" ht="17.25" x14ac:dyDescent="0.3">
      <c r="A37" s="15" t="s">
        <v>10</v>
      </c>
      <c r="B37" s="16"/>
      <c r="C37" s="14">
        <f>H37+K37+N37+Q37+T37+W37+Z37+AC37+AF37+AI37+AL37+AO37</f>
        <v>6739</v>
      </c>
      <c r="D37" s="19">
        <v>0</v>
      </c>
      <c r="E37" s="3"/>
      <c r="F37" s="132">
        <v>129</v>
      </c>
      <c r="G37" s="65"/>
      <c r="H37" s="65">
        <f t="shared" si="0"/>
        <v>129</v>
      </c>
      <c r="I37" s="132">
        <v>113</v>
      </c>
      <c r="J37" s="66"/>
      <c r="K37" s="66">
        <f t="shared" si="1"/>
        <v>113</v>
      </c>
      <c r="L37" s="132">
        <v>0</v>
      </c>
      <c r="M37" s="65"/>
      <c r="N37" s="65">
        <f t="shared" si="2"/>
        <v>0</v>
      </c>
      <c r="O37" s="132">
        <v>85</v>
      </c>
      <c r="P37" s="66"/>
      <c r="Q37" s="66">
        <f t="shared" si="3"/>
        <v>85</v>
      </c>
      <c r="R37" s="132">
        <v>6309</v>
      </c>
      <c r="S37" s="65"/>
      <c r="T37" s="65">
        <f t="shared" si="4"/>
        <v>6309</v>
      </c>
      <c r="U37" s="132">
        <v>32</v>
      </c>
      <c r="V37" s="66"/>
      <c r="W37" s="66">
        <f t="shared" si="5"/>
        <v>32</v>
      </c>
      <c r="X37" s="132">
        <v>45</v>
      </c>
      <c r="Y37" s="65"/>
      <c r="Z37" s="65">
        <f t="shared" si="6"/>
        <v>45</v>
      </c>
      <c r="AA37" s="132">
        <v>25</v>
      </c>
      <c r="AB37" s="66"/>
      <c r="AC37" s="66">
        <f t="shared" si="7"/>
        <v>25</v>
      </c>
      <c r="AD37" s="65">
        <v>1</v>
      </c>
      <c r="AE37" s="65"/>
      <c r="AF37" s="65">
        <f t="shared" si="8"/>
        <v>1</v>
      </c>
      <c r="AG37" s="66"/>
      <c r="AH37" s="66"/>
      <c r="AI37" s="66">
        <f t="shared" si="9"/>
        <v>0</v>
      </c>
      <c r="AJ37" s="65"/>
      <c r="AK37" s="65"/>
      <c r="AL37" s="65">
        <f t="shared" si="10"/>
        <v>0</v>
      </c>
      <c r="AM37" s="66"/>
      <c r="AN37" s="66"/>
      <c r="AO37" s="66">
        <f t="shared" ref="AO37:AO39" si="21">AM37+AN37</f>
        <v>0</v>
      </c>
    </row>
    <row r="38" spans="1:41" s="58" customFormat="1" ht="17.25" x14ac:dyDescent="0.3">
      <c r="A38" s="68" t="s">
        <v>64</v>
      </c>
      <c r="B38" s="16"/>
      <c r="C38" s="14">
        <f>H38+K38+N38+Q38+T38+W38+Z38+AC38+AF38+AI38+AL38+AO38</f>
        <v>42743</v>
      </c>
      <c r="D38" s="19"/>
      <c r="E38" s="3"/>
      <c r="F38" s="132">
        <v>42075</v>
      </c>
      <c r="G38" s="65"/>
      <c r="H38" s="65">
        <f t="shared" si="0"/>
        <v>42075</v>
      </c>
      <c r="I38" s="132">
        <v>70</v>
      </c>
      <c r="J38" s="66"/>
      <c r="K38" s="66">
        <f t="shared" si="1"/>
        <v>70</v>
      </c>
      <c r="L38" s="132"/>
      <c r="M38" s="65"/>
      <c r="N38" s="65">
        <f t="shared" si="2"/>
        <v>0</v>
      </c>
      <c r="O38" s="132">
        <v>0</v>
      </c>
      <c r="P38" s="66"/>
      <c r="Q38" s="66">
        <f t="shared" si="3"/>
        <v>0</v>
      </c>
      <c r="R38" s="132">
        <v>0</v>
      </c>
      <c r="S38" s="65"/>
      <c r="T38" s="65">
        <f t="shared" si="4"/>
        <v>0</v>
      </c>
      <c r="U38" s="132">
        <v>0</v>
      </c>
      <c r="V38" s="66"/>
      <c r="W38" s="66">
        <f t="shared" si="5"/>
        <v>0</v>
      </c>
      <c r="X38" s="132">
        <v>598</v>
      </c>
      <c r="Y38" s="65"/>
      <c r="Z38" s="65">
        <f t="shared" si="6"/>
        <v>598</v>
      </c>
      <c r="AA38" s="132"/>
      <c r="AB38" s="66"/>
      <c r="AC38" s="66">
        <f t="shared" si="7"/>
        <v>0</v>
      </c>
      <c r="AD38" s="65"/>
      <c r="AE38" s="65"/>
      <c r="AF38" s="65">
        <f t="shared" si="8"/>
        <v>0</v>
      </c>
      <c r="AG38" s="66"/>
      <c r="AH38" s="66"/>
      <c r="AI38" s="66">
        <f t="shared" si="9"/>
        <v>0</v>
      </c>
      <c r="AJ38" s="65"/>
      <c r="AK38" s="65"/>
      <c r="AL38" s="65">
        <f t="shared" si="10"/>
        <v>0</v>
      </c>
      <c r="AM38" s="66"/>
      <c r="AN38" s="66"/>
      <c r="AO38" s="66">
        <f t="shared" si="21"/>
        <v>0</v>
      </c>
    </row>
    <row r="39" spans="1:41" s="58" customFormat="1" ht="17.25" x14ac:dyDescent="0.3">
      <c r="A39" s="68" t="s">
        <v>65</v>
      </c>
      <c r="B39" s="16"/>
      <c r="C39" s="14">
        <f>H39+K39+N39+Q39+T39+W39+Z39+AC39+AF39+AI39+AL39+AO39</f>
        <v>0</v>
      </c>
      <c r="D39" s="19"/>
      <c r="E39" s="3"/>
      <c r="F39" s="132"/>
      <c r="G39" s="65"/>
      <c r="H39" s="65">
        <f t="shared" si="0"/>
        <v>0</v>
      </c>
      <c r="I39" s="132"/>
      <c r="J39" s="66"/>
      <c r="K39" s="66">
        <f t="shared" si="1"/>
        <v>0</v>
      </c>
      <c r="L39" s="132"/>
      <c r="M39" s="65"/>
      <c r="N39" s="65">
        <f t="shared" si="2"/>
        <v>0</v>
      </c>
      <c r="O39" s="132"/>
      <c r="P39" s="66"/>
      <c r="Q39" s="66">
        <f t="shared" si="3"/>
        <v>0</v>
      </c>
      <c r="R39" s="132"/>
      <c r="S39" s="65"/>
      <c r="T39" s="65">
        <f t="shared" si="4"/>
        <v>0</v>
      </c>
      <c r="U39" s="132"/>
      <c r="V39" s="66"/>
      <c r="W39" s="66">
        <f t="shared" si="5"/>
        <v>0</v>
      </c>
      <c r="X39" s="132"/>
      <c r="Y39" s="65"/>
      <c r="Z39" s="65">
        <f t="shared" si="6"/>
        <v>0</v>
      </c>
      <c r="AA39" s="132"/>
      <c r="AB39" s="66"/>
      <c r="AC39" s="66">
        <f t="shared" si="7"/>
        <v>0</v>
      </c>
      <c r="AD39" s="65"/>
      <c r="AE39" s="65"/>
      <c r="AF39" s="65">
        <f t="shared" si="8"/>
        <v>0</v>
      </c>
      <c r="AG39" s="66"/>
      <c r="AH39" s="66"/>
      <c r="AI39" s="66">
        <f t="shared" si="9"/>
        <v>0</v>
      </c>
      <c r="AJ39" s="65"/>
      <c r="AK39" s="65"/>
      <c r="AL39" s="65">
        <f t="shared" si="10"/>
        <v>0</v>
      </c>
      <c r="AM39" s="66"/>
      <c r="AN39" s="66"/>
      <c r="AO39" s="66">
        <f t="shared" si="21"/>
        <v>0</v>
      </c>
    </row>
    <row r="40" spans="1:41" s="58" customFormat="1" ht="21.95" customHeight="1" x14ac:dyDescent="0.3">
      <c r="A40" s="4" t="s">
        <v>11</v>
      </c>
      <c r="B40" s="16"/>
      <c r="C40" s="17">
        <f>C37-C38-C39</f>
        <v>-36004</v>
      </c>
      <c r="D40" s="17">
        <f>SUM(D37:D37)</f>
        <v>0</v>
      </c>
      <c r="E40" s="3"/>
      <c r="F40" s="17">
        <f t="shared" ref="F40:AO40" si="22">F37-F38-F39</f>
        <v>-41946</v>
      </c>
      <c r="G40" s="17">
        <f t="shared" si="22"/>
        <v>0</v>
      </c>
      <c r="H40" s="17">
        <f t="shared" si="22"/>
        <v>-41946</v>
      </c>
      <c r="I40" s="17">
        <f t="shared" si="22"/>
        <v>43</v>
      </c>
      <c r="J40" s="17">
        <f t="shared" si="22"/>
        <v>0</v>
      </c>
      <c r="K40" s="17">
        <f t="shared" si="22"/>
        <v>43</v>
      </c>
      <c r="L40" s="17">
        <f t="shared" si="22"/>
        <v>0</v>
      </c>
      <c r="M40" s="17">
        <f t="shared" si="22"/>
        <v>0</v>
      </c>
      <c r="N40" s="17">
        <f t="shared" si="22"/>
        <v>0</v>
      </c>
      <c r="O40" s="17">
        <f t="shared" si="22"/>
        <v>85</v>
      </c>
      <c r="P40" s="17">
        <f t="shared" si="22"/>
        <v>0</v>
      </c>
      <c r="Q40" s="17">
        <f t="shared" si="22"/>
        <v>85</v>
      </c>
      <c r="R40" s="17">
        <f t="shared" si="22"/>
        <v>6309</v>
      </c>
      <c r="S40" s="17">
        <f t="shared" si="22"/>
        <v>0</v>
      </c>
      <c r="T40" s="17">
        <f t="shared" si="22"/>
        <v>6309</v>
      </c>
      <c r="U40" s="17">
        <f t="shared" si="22"/>
        <v>32</v>
      </c>
      <c r="V40" s="17">
        <f t="shared" si="22"/>
        <v>0</v>
      </c>
      <c r="W40" s="17">
        <f t="shared" si="22"/>
        <v>32</v>
      </c>
      <c r="X40" s="17">
        <f t="shared" si="22"/>
        <v>-553</v>
      </c>
      <c r="Y40" s="17">
        <f t="shared" si="22"/>
        <v>0</v>
      </c>
      <c r="Z40" s="17">
        <f t="shared" si="22"/>
        <v>-553</v>
      </c>
      <c r="AA40" s="17">
        <f t="shared" si="22"/>
        <v>25</v>
      </c>
      <c r="AB40" s="17">
        <f t="shared" si="22"/>
        <v>0</v>
      </c>
      <c r="AC40" s="17">
        <f t="shared" si="22"/>
        <v>25</v>
      </c>
      <c r="AD40" s="17">
        <f t="shared" si="22"/>
        <v>1</v>
      </c>
      <c r="AE40" s="17">
        <f t="shared" si="22"/>
        <v>0</v>
      </c>
      <c r="AF40" s="17">
        <f t="shared" si="22"/>
        <v>1</v>
      </c>
      <c r="AG40" s="17">
        <f t="shared" si="22"/>
        <v>0</v>
      </c>
      <c r="AH40" s="17">
        <f t="shared" si="22"/>
        <v>0</v>
      </c>
      <c r="AI40" s="17">
        <f t="shared" si="22"/>
        <v>0</v>
      </c>
      <c r="AJ40" s="17">
        <f t="shared" si="22"/>
        <v>0</v>
      </c>
      <c r="AK40" s="17">
        <f t="shared" si="22"/>
        <v>0</v>
      </c>
      <c r="AL40" s="17">
        <f t="shared" si="22"/>
        <v>0</v>
      </c>
      <c r="AM40" s="17">
        <f t="shared" si="22"/>
        <v>0</v>
      </c>
      <c r="AN40" s="17">
        <f t="shared" si="22"/>
        <v>0</v>
      </c>
      <c r="AO40" s="17">
        <f t="shared" si="22"/>
        <v>0</v>
      </c>
    </row>
    <row r="41" spans="1:41" s="58" customFormat="1" ht="17.25" x14ac:dyDescent="0.3">
      <c r="A41" s="15"/>
      <c r="B41" s="16"/>
      <c r="C41" s="18"/>
      <c r="D41" s="18"/>
      <c r="E41" s="3"/>
      <c r="F41" s="65"/>
      <c r="G41" s="65"/>
      <c r="H41" s="65">
        <f t="shared" si="0"/>
        <v>0</v>
      </c>
      <c r="I41" s="66"/>
      <c r="J41" s="66"/>
      <c r="K41" s="66">
        <f t="shared" si="1"/>
        <v>0</v>
      </c>
      <c r="L41" s="65"/>
      <c r="M41" s="65"/>
      <c r="N41" s="65">
        <f t="shared" si="2"/>
        <v>0</v>
      </c>
      <c r="O41" s="66"/>
      <c r="P41" s="66"/>
      <c r="Q41" s="66">
        <f t="shared" si="3"/>
        <v>0</v>
      </c>
      <c r="R41" s="65"/>
      <c r="S41" s="65"/>
      <c r="T41" s="65">
        <f t="shared" si="4"/>
        <v>0</v>
      </c>
      <c r="U41" s="66"/>
      <c r="V41" s="66"/>
      <c r="W41" s="66">
        <f t="shared" si="5"/>
        <v>0</v>
      </c>
      <c r="X41" s="65"/>
      <c r="Y41" s="65"/>
      <c r="Z41" s="65">
        <f t="shared" si="6"/>
        <v>0</v>
      </c>
      <c r="AA41" s="66"/>
      <c r="AB41" s="66"/>
      <c r="AC41" s="66">
        <f t="shared" si="7"/>
        <v>0</v>
      </c>
      <c r="AD41" s="65"/>
      <c r="AE41" s="65"/>
      <c r="AF41" s="65">
        <f t="shared" si="8"/>
        <v>0</v>
      </c>
      <c r="AG41" s="66"/>
      <c r="AH41" s="66"/>
      <c r="AI41" s="66">
        <f t="shared" si="9"/>
        <v>0</v>
      </c>
      <c r="AJ41" s="65"/>
      <c r="AK41" s="65"/>
      <c r="AL41" s="65">
        <f t="shared" si="10"/>
        <v>0</v>
      </c>
      <c r="AM41" s="66"/>
      <c r="AN41" s="66"/>
      <c r="AO41" s="66">
        <f t="shared" ref="AO41" si="23">AM41+AN41</f>
        <v>0</v>
      </c>
    </row>
    <row r="42" spans="1:41" s="58" customFormat="1" ht="18" thickBot="1" x14ac:dyDescent="0.35">
      <c r="A42" s="4" t="s">
        <v>12</v>
      </c>
      <c r="B42" s="16"/>
      <c r="C42" s="23">
        <f>C33+C40</f>
        <v>393437</v>
      </c>
      <c r="D42" s="23">
        <f>D33+D40</f>
        <v>280000</v>
      </c>
      <c r="E42" s="3"/>
      <c r="F42" s="23">
        <f t="shared" ref="F42:AO42" si="24">F33+F40</f>
        <v>230760</v>
      </c>
      <c r="G42" s="23">
        <f t="shared" si="24"/>
        <v>-99570</v>
      </c>
      <c r="H42" s="23">
        <f t="shared" si="24"/>
        <v>131190</v>
      </c>
      <c r="I42" s="23">
        <f t="shared" si="24"/>
        <v>-7036</v>
      </c>
      <c r="J42" s="23">
        <f t="shared" si="24"/>
        <v>-30395</v>
      </c>
      <c r="K42" s="23">
        <f t="shared" si="24"/>
        <v>-37431</v>
      </c>
      <c r="L42" s="23">
        <f t="shared" si="24"/>
        <v>0</v>
      </c>
      <c r="M42" s="23">
        <f t="shared" si="24"/>
        <v>0</v>
      </c>
      <c r="N42" s="23">
        <f t="shared" si="24"/>
        <v>0</v>
      </c>
      <c r="O42" s="23">
        <f t="shared" si="24"/>
        <v>20938</v>
      </c>
      <c r="P42" s="23">
        <f t="shared" si="24"/>
        <v>-280970</v>
      </c>
      <c r="Q42" s="23">
        <f t="shared" si="24"/>
        <v>-260032</v>
      </c>
      <c r="R42" s="23">
        <f t="shared" si="24"/>
        <v>573148</v>
      </c>
      <c r="S42" s="23">
        <f t="shared" si="24"/>
        <v>0</v>
      </c>
      <c r="T42" s="23">
        <f t="shared" si="24"/>
        <v>573148</v>
      </c>
      <c r="U42" s="23">
        <f t="shared" si="24"/>
        <v>-13866</v>
      </c>
      <c r="V42" s="23">
        <f t="shared" si="24"/>
        <v>-11495</v>
      </c>
      <c r="W42" s="23">
        <f t="shared" si="24"/>
        <v>-25361</v>
      </c>
      <c r="X42" s="23">
        <f t="shared" si="24"/>
        <v>2149</v>
      </c>
      <c r="Y42" s="23">
        <f t="shared" si="24"/>
        <v>0</v>
      </c>
      <c r="Z42" s="23">
        <f t="shared" si="24"/>
        <v>2149</v>
      </c>
      <c r="AA42" s="23">
        <f t="shared" si="24"/>
        <v>15758</v>
      </c>
      <c r="AB42" s="23">
        <f t="shared" si="24"/>
        <v>-8570</v>
      </c>
      <c r="AC42" s="23">
        <f t="shared" si="24"/>
        <v>7188</v>
      </c>
      <c r="AD42" s="23">
        <f t="shared" si="24"/>
        <v>2586</v>
      </c>
      <c r="AE42" s="23">
        <f t="shared" si="24"/>
        <v>0</v>
      </c>
      <c r="AF42" s="23">
        <f t="shared" si="24"/>
        <v>2586</v>
      </c>
      <c r="AG42" s="23">
        <f t="shared" si="24"/>
        <v>0</v>
      </c>
      <c r="AH42" s="23">
        <f t="shared" si="24"/>
        <v>0</v>
      </c>
      <c r="AI42" s="23">
        <f t="shared" si="24"/>
        <v>0</v>
      </c>
      <c r="AJ42" s="23">
        <f t="shared" si="24"/>
        <v>0</v>
      </c>
      <c r="AK42" s="23">
        <f t="shared" si="24"/>
        <v>0</v>
      </c>
      <c r="AL42" s="23">
        <f t="shared" si="24"/>
        <v>0</v>
      </c>
      <c r="AM42" s="23">
        <f t="shared" si="24"/>
        <v>0</v>
      </c>
      <c r="AN42" s="23">
        <f t="shared" si="24"/>
        <v>0</v>
      </c>
      <c r="AO42" s="23">
        <f t="shared" si="24"/>
        <v>0</v>
      </c>
    </row>
    <row r="43" spans="1:41" s="58" customFormat="1" ht="18" thickTop="1" x14ac:dyDescent="0.3">
      <c r="A43" s="15"/>
      <c r="B43" s="16"/>
      <c r="C43" s="24"/>
      <c r="D43" s="24"/>
      <c r="E43" s="3"/>
      <c r="F43" s="65"/>
      <c r="G43" s="65"/>
      <c r="H43" s="65"/>
      <c r="I43" s="66"/>
      <c r="J43" s="66"/>
      <c r="K43" s="66"/>
      <c r="L43" s="65"/>
      <c r="M43" s="65"/>
      <c r="N43" s="65"/>
      <c r="O43" s="66"/>
      <c r="P43" s="66"/>
      <c r="Q43" s="66"/>
      <c r="R43" s="65"/>
      <c r="S43" s="65"/>
      <c r="T43" s="65"/>
      <c r="U43" s="66"/>
      <c r="V43" s="66"/>
      <c r="W43" s="66"/>
      <c r="X43" s="65"/>
      <c r="Y43" s="65"/>
      <c r="Z43" s="65"/>
      <c r="AA43" s="66"/>
      <c r="AB43" s="66"/>
      <c r="AC43" s="66"/>
      <c r="AD43" s="65"/>
      <c r="AE43" s="65"/>
      <c r="AF43" s="65"/>
      <c r="AG43" s="66"/>
      <c r="AH43" s="66"/>
      <c r="AI43" s="66"/>
      <c r="AJ43" s="65"/>
      <c r="AK43" s="65"/>
      <c r="AL43" s="65"/>
      <c r="AM43" s="66"/>
      <c r="AN43" s="66"/>
      <c r="AO43" s="66"/>
    </row>
    <row r="44" spans="1:41" s="58" customFormat="1" ht="21.95" customHeight="1" x14ac:dyDescent="0.3">
      <c r="A44" s="15"/>
      <c r="B44" s="16"/>
      <c r="C44" s="24"/>
      <c r="D44" s="24"/>
      <c r="E44" s="3"/>
      <c r="F44" s="65"/>
      <c r="G44" s="65"/>
      <c r="H44" s="65"/>
      <c r="I44" s="66"/>
      <c r="J44" s="66"/>
      <c r="K44" s="66"/>
      <c r="L44" s="65"/>
      <c r="M44" s="65"/>
      <c r="N44" s="65"/>
      <c r="O44" s="66"/>
      <c r="P44" s="66"/>
      <c r="Q44" s="66"/>
      <c r="R44" s="65"/>
      <c r="S44" s="65"/>
      <c r="T44" s="65"/>
      <c r="U44" s="66"/>
      <c r="V44" s="66"/>
      <c r="W44" s="66"/>
      <c r="X44" s="65"/>
      <c r="Y44" s="65"/>
      <c r="Z44" s="65"/>
      <c r="AA44" s="66"/>
      <c r="AB44" s="66"/>
      <c r="AC44" s="66"/>
      <c r="AD44" s="65"/>
      <c r="AE44" s="65"/>
      <c r="AF44" s="65"/>
      <c r="AG44" s="66"/>
      <c r="AH44" s="66"/>
      <c r="AI44" s="66"/>
      <c r="AJ44" s="65"/>
      <c r="AK44" s="65"/>
      <c r="AL44" s="65"/>
      <c r="AM44" s="66"/>
      <c r="AN44" s="66"/>
      <c r="AO44" s="66"/>
    </row>
    <row r="45" spans="1:41" s="58" customFormat="1" ht="17.25" x14ac:dyDescent="0.3">
      <c r="A45" s="4" t="s">
        <v>13</v>
      </c>
      <c r="B45" s="25"/>
      <c r="C45" s="26"/>
      <c r="D45" s="26"/>
      <c r="E45" s="3"/>
      <c r="F45" s="65"/>
      <c r="G45" s="65"/>
      <c r="H45" s="65"/>
      <c r="I45" s="66"/>
      <c r="J45" s="66"/>
      <c r="K45" s="66"/>
      <c r="L45" s="65"/>
      <c r="M45" s="65"/>
      <c r="N45" s="65"/>
      <c r="O45" s="66"/>
      <c r="P45" s="66"/>
      <c r="Q45" s="66"/>
      <c r="R45" s="65"/>
      <c r="S45" s="65"/>
      <c r="T45" s="65"/>
      <c r="U45" s="66"/>
      <c r="V45" s="66"/>
      <c r="W45" s="66"/>
      <c r="X45" s="65"/>
      <c r="Y45" s="65"/>
      <c r="Z45" s="65"/>
      <c r="AA45" s="66"/>
      <c r="AB45" s="66"/>
      <c r="AC45" s="66"/>
      <c r="AD45" s="65"/>
      <c r="AE45" s="65"/>
      <c r="AF45" s="65"/>
      <c r="AG45" s="66"/>
      <c r="AH45" s="66"/>
      <c r="AI45" s="66"/>
      <c r="AJ45" s="65"/>
      <c r="AK45" s="65"/>
      <c r="AL45" s="65"/>
      <c r="AM45" s="66"/>
      <c r="AN45" s="66"/>
      <c r="AO45" s="66"/>
    </row>
    <row r="46" spans="1:41" s="58" customFormat="1" ht="17.25" x14ac:dyDescent="0.3">
      <c r="A46" s="15" t="s">
        <v>14</v>
      </c>
      <c r="B46" s="16"/>
      <c r="C46" s="14">
        <f>H46+K46+N46+Q46+T46+W46+Z46+AC46+AF46+AI46+AL46+AO46</f>
        <v>393437</v>
      </c>
      <c r="D46" s="27">
        <f>D42</f>
        <v>280000</v>
      </c>
      <c r="E46" s="3"/>
      <c r="F46" s="27">
        <f>F42</f>
        <v>230760</v>
      </c>
      <c r="G46" s="27">
        <f t="shared" ref="G46:AO46" si="25">G42</f>
        <v>-99570</v>
      </c>
      <c r="H46" s="27">
        <f t="shared" si="25"/>
        <v>131190</v>
      </c>
      <c r="I46" s="27">
        <f t="shared" si="25"/>
        <v>-7036</v>
      </c>
      <c r="J46" s="27">
        <f t="shared" si="25"/>
        <v>-30395</v>
      </c>
      <c r="K46" s="27">
        <f t="shared" si="25"/>
        <v>-37431</v>
      </c>
      <c r="L46" s="27">
        <f t="shared" si="25"/>
        <v>0</v>
      </c>
      <c r="M46" s="27">
        <f t="shared" si="25"/>
        <v>0</v>
      </c>
      <c r="N46" s="27">
        <f>L46+M46</f>
        <v>0</v>
      </c>
      <c r="O46" s="27">
        <f t="shared" si="25"/>
        <v>20938</v>
      </c>
      <c r="P46" s="27">
        <f t="shared" si="25"/>
        <v>-280970</v>
      </c>
      <c r="Q46" s="27">
        <f t="shared" si="25"/>
        <v>-260032</v>
      </c>
      <c r="R46" s="27">
        <f t="shared" si="25"/>
        <v>573148</v>
      </c>
      <c r="S46" s="121">
        <f>S42</f>
        <v>0</v>
      </c>
      <c r="T46" s="27">
        <f>R46+S46</f>
        <v>573148</v>
      </c>
      <c r="U46" s="27">
        <f t="shared" si="25"/>
        <v>-13866</v>
      </c>
      <c r="V46" s="27">
        <f t="shared" si="25"/>
        <v>-11495</v>
      </c>
      <c r="W46" s="27">
        <f t="shared" si="25"/>
        <v>-25361</v>
      </c>
      <c r="X46" s="27">
        <f t="shared" si="25"/>
        <v>2149</v>
      </c>
      <c r="Y46" s="27">
        <f t="shared" si="25"/>
        <v>0</v>
      </c>
      <c r="Z46" s="27">
        <f t="shared" si="25"/>
        <v>2149</v>
      </c>
      <c r="AA46" s="27">
        <f t="shared" si="25"/>
        <v>15758</v>
      </c>
      <c r="AB46" s="27">
        <f t="shared" si="25"/>
        <v>-8570</v>
      </c>
      <c r="AC46" s="27">
        <f t="shared" si="25"/>
        <v>7188</v>
      </c>
      <c r="AD46" s="27">
        <f t="shared" si="25"/>
        <v>2586</v>
      </c>
      <c r="AE46" s="27">
        <f t="shared" si="25"/>
        <v>0</v>
      </c>
      <c r="AF46" s="27">
        <f t="shared" si="25"/>
        <v>2586</v>
      </c>
      <c r="AG46" s="27">
        <f t="shared" si="25"/>
        <v>0</v>
      </c>
      <c r="AH46" s="27">
        <f t="shared" si="25"/>
        <v>0</v>
      </c>
      <c r="AI46" s="27">
        <f t="shared" si="25"/>
        <v>0</v>
      </c>
      <c r="AJ46" s="27">
        <f t="shared" si="25"/>
        <v>0</v>
      </c>
      <c r="AK46" s="27">
        <f t="shared" si="25"/>
        <v>0</v>
      </c>
      <c r="AL46" s="27">
        <f t="shared" si="25"/>
        <v>0</v>
      </c>
      <c r="AM46" s="27">
        <f t="shared" si="25"/>
        <v>0</v>
      </c>
      <c r="AN46" s="27">
        <f t="shared" si="25"/>
        <v>0</v>
      </c>
      <c r="AO46" s="27">
        <f t="shared" si="25"/>
        <v>0</v>
      </c>
    </row>
    <row r="47" spans="1:41" s="58" customFormat="1" ht="18.95" customHeight="1" thickBot="1" x14ac:dyDescent="0.35">
      <c r="A47" s="4" t="s">
        <v>15</v>
      </c>
      <c r="B47" s="16"/>
      <c r="C47" s="23">
        <f>SUM(C46:C46)</f>
        <v>393437</v>
      </c>
      <c r="D47" s="23">
        <f>D42</f>
        <v>280000</v>
      </c>
      <c r="E47" s="3"/>
      <c r="F47" s="23">
        <f t="shared" ref="F47:AO47" si="26">SUM(F46:F46)</f>
        <v>230760</v>
      </c>
      <c r="G47" s="23">
        <f t="shared" si="26"/>
        <v>-99570</v>
      </c>
      <c r="H47" s="23">
        <f t="shared" si="26"/>
        <v>131190</v>
      </c>
      <c r="I47" s="23">
        <f t="shared" si="26"/>
        <v>-7036</v>
      </c>
      <c r="J47" s="23">
        <f t="shared" si="26"/>
        <v>-30395</v>
      </c>
      <c r="K47" s="23">
        <f t="shared" si="26"/>
        <v>-37431</v>
      </c>
      <c r="L47" s="23">
        <f t="shared" si="26"/>
        <v>0</v>
      </c>
      <c r="M47" s="23">
        <f t="shared" si="26"/>
        <v>0</v>
      </c>
      <c r="N47" s="23">
        <f t="shared" si="26"/>
        <v>0</v>
      </c>
      <c r="O47" s="23">
        <f t="shared" si="26"/>
        <v>20938</v>
      </c>
      <c r="P47" s="23">
        <f t="shared" si="26"/>
        <v>-280970</v>
      </c>
      <c r="Q47" s="23">
        <f t="shared" si="26"/>
        <v>-260032</v>
      </c>
      <c r="R47" s="23">
        <f t="shared" si="26"/>
        <v>573148</v>
      </c>
      <c r="S47" s="23">
        <f t="shared" si="26"/>
        <v>0</v>
      </c>
      <c r="T47" s="23">
        <f t="shared" si="26"/>
        <v>573148</v>
      </c>
      <c r="U47" s="23">
        <f t="shared" si="26"/>
        <v>-13866</v>
      </c>
      <c r="V47" s="23">
        <f t="shared" si="26"/>
        <v>-11495</v>
      </c>
      <c r="W47" s="23">
        <f t="shared" si="26"/>
        <v>-25361</v>
      </c>
      <c r="X47" s="23">
        <f t="shared" si="26"/>
        <v>2149</v>
      </c>
      <c r="Y47" s="23">
        <f t="shared" si="26"/>
        <v>0</v>
      </c>
      <c r="Z47" s="23">
        <f t="shared" si="26"/>
        <v>2149</v>
      </c>
      <c r="AA47" s="23">
        <f t="shared" si="26"/>
        <v>15758</v>
      </c>
      <c r="AB47" s="23">
        <f t="shared" si="26"/>
        <v>-8570</v>
      </c>
      <c r="AC47" s="23">
        <f t="shared" si="26"/>
        <v>7188</v>
      </c>
      <c r="AD47" s="23">
        <f t="shared" si="26"/>
        <v>2586</v>
      </c>
      <c r="AE47" s="23">
        <f t="shared" si="26"/>
        <v>0</v>
      </c>
      <c r="AF47" s="23">
        <f t="shared" si="26"/>
        <v>2586</v>
      </c>
      <c r="AG47" s="23">
        <f t="shared" si="26"/>
        <v>0</v>
      </c>
      <c r="AH47" s="23">
        <f t="shared" si="26"/>
        <v>0</v>
      </c>
      <c r="AI47" s="23">
        <f t="shared" si="26"/>
        <v>0</v>
      </c>
      <c r="AJ47" s="23">
        <f t="shared" si="26"/>
        <v>0</v>
      </c>
      <c r="AK47" s="23">
        <f t="shared" si="26"/>
        <v>0</v>
      </c>
      <c r="AL47" s="23">
        <f t="shared" si="26"/>
        <v>0</v>
      </c>
      <c r="AM47" s="23">
        <f t="shared" si="26"/>
        <v>0</v>
      </c>
      <c r="AN47" s="23">
        <f t="shared" si="26"/>
        <v>0</v>
      </c>
      <c r="AO47" s="23">
        <f t="shared" si="26"/>
        <v>0</v>
      </c>
    </row>
    <row r="48" spans="1:41" s="58" customFormat="1" ht="18.95" customHeight="1" thickTop="1" x14ac:dyDescent="0.3">
      <c r="A48" s="4"/>
      <c r="B48" s="16"/>
      <c r="C48" s="28"/>
      <c r="D48" s="29"/>
      <c r="E48" s="3"/>
      <c r="F48" s="65"/>
      <c r="G48" s="65"/>
      <c r="H48" s="65"/>
      <c r="I48" s="66"/>
      <c r="J48" s="66"/>
      <c r="K48" s="66"/>
      <c r="L48" s="65"/>
      <c r="M48" s="65"/>
      <c r="N48" s="65"/>
      <c r="O48" s="66"/>
      <c r="P48" s="66"/>
      <c r="Q48" s="66"/>
      <c r="R48" s="65"/>
      <c r="S48" s="65"/>
      <c r="T48" s="65"/>
      <c r="U48" s="66"/>
      <c r="V48" s="66"/>
      <c r="W48" s="66"/>
      <c r="X48" s="65"/>
      <c r="Y48" s="65"/>
      <c r="Z48" s="65"/>
      <c r="AA48" s="66"/>
      <c r="AB48" s="66"/>
      <c r="AC48" s="66"/>
      <c r="AD48" s="65"/>
      <c r="AE48" s="65"/>
      <c r="AF48" s="65"/>
      <c r="AG48" s="66"/>
      <c r="AH48" s="66"/>
      <c r="AI48" s="66"/>
      <c r="AJ48" s="65"/>
      <c r="AK48" s="65"/>
      <c r="AL48" s="65"/>
      <c r="AM48" s="66"/>
      <c r="AN48" s="66"/>
      <c r="AO48" s="66"/>
    </row>
    <row r="49" spans="1:41" s="58" customFormat="1" ht="18.95" customHeight="1" x14ac:dyDescent="0.3">
      <c r="A49" s="4"/>
      <c r="B49" s="16"/>
      <c r="C49" s="28"/>
      <c r="D49" s="29"/>
      <c r="E49" s="3"/>
      <c r="F49" s="65"/>
      <c r="G49" s="65"/>
      <c r="H49" s="65"/>
      <c r="I49" s="66"/>
      <c r="J49" s="66"/>
      <c r="K49" s="66"/>
      <c r="L49" s="65"/>
      <c r="M49" s="65"/>
      <c r="N49" s="65"/>
      <c r="O49" s="66"/>
      <c r="P49" s="66"/>
      <c r="Q49" s="66"/>
      <c r="R49" s="65"/>
      <c r="S49" s="65"/>
      <c r="T49" s="65"/>
      <c r="U49" s="66"/>
      <c r="V49" s="66"/>
      <c r="W49" s="66"/>
      <c r="X49" s="65"/>
      <c r="Y49" s="65"/>
      <c r="Z49" s="65"/>
      <c r="AA49" s="66"/>
      <c r="AB49" s="66"/>
      <c r="AC49" s="66"/>
      <c r="AD49" s="65"/>
      <c r="AE49" s="65"/>
      <c r="AF49" s="65"/>
      <c r="AG49" s="66"/>
      <c r="AH49" s="66"/>
      <c r="AI49" s="66"/>
      <c r="AJ49" s="65"/>
      <c r="AK49" s="65"/>
      <c r="AL49" s="65"/>
      <c r="AM49" s="66"/>
      <c r="AN49" s="66"/>
      <c r="AO49" s="66"/>
    </row>
    <row r="50" spans="1:41" s="58" customFormat="1" ht="30" customHeight="1" x14ac:dyDescent="0.4">
      <c r="A50" s="1" t="str">
        <f>A1</f>
        <v>Otta Idrettslag - med undergrupper</v>
      </c>
      <c r="B50" s="16"/>
      <c r="C50" s="28"/>
      <c r="D50" s="29"/>
      <c r="E50" s="3"/>
      <c r="F50" s="65"/>
      <c r="G50" s="65"/>
      <c r="H50" s="65"/>
      <c r="I50" s="66"/>
      <c r="J50" s="66"/>
      <c r="K50" s="66"/>
      <c r="L50" s="65"/>
      <c r="M50" s="65"/>
      <c r="N50" s="65"/>
      <c r="O50" s="66"/>
      <c r="P50" s="66"/>
      <c r="Q50" s="66"/>
      <c r="R50" s="65"/>
      <c r="S50" s="65"/>
      <c r="T50" s="65"/>
      <c r="U50" s="66"/>
      <c r="V50" s="66"/>
      <c r="W50" s="66"/>
      <c r="X50" s="65"/>
      <c r="Y50" s="65"/>
      <c r="Z50" s="65"/>
      <c r="AA50" s="66"/>
      <c r="AB50" s="66"/>
      <c r="AC50" s="66"/>
      <c r="AD50" s="65"/>
      <c r="AE50" s="65"/>
      <c r="AF50" s="65"/>
      <c r="AG50" s="66"/>
      <c r="AH50" s="66"/>
      <c r="AI50" s="66"/>
      <c r="AJ50" s="65"/>
      <c r="AK50" s="65"/>
      <c r="AL50" s="65"/>
      <c r="AM50" s="66"/>
      <c r="AN50" s="66"/>
      <c r="AO50" s="66"/>
    </row>
    <row r="51" spans="1:41" s="58" customFormat="1" x14ac:dyDescent="0.2">
      <c r="A51" s="15"/>
      <c r="B51" s="150"/>
      <c r="C51" s="14"/>
      <c r="D51" s="14"/>
      <c r="E51" s="3"/>
      <c r="F51" s="65"/>
      <c r="G51" s="65"/>
      <c r="H51" s="65"/>
      <c r="I51" s="66"/>
      <c r="J51" s="66"/>
      <c r="K51" s="66"/>
      <c r="L51" s="65"/>
      <c r="M51" s="65"/>
      <c r="N51" s="65"/>
      <c r="O51" s="66"/>
      <c r="P51" s="66"/>
      <c r="Q51" s="66"/>
      <c r="R51" s="65"/>
      <c r="S51" s="65"/>
      <c r="T51" s="65"/>
      <c r="U51" s="66"/>
      <c r="V51" s="66"/>
      <c r="W51" s="66"/>
      <c r="X51" s="65"/>
      <c r="Y51" s="65"/>
      <c r="Z51" s="65"/>
      <c r="AA51" s="66"/>
      <c r="AB51" s="66"/>
      <c r="AC51" s="66"/>
      <c r="AD51" s="65"/>
      <c r="AE51" s="65"/>
      <c r="AF51" s="65"/>
      <c r="AG51" s="66"/>
      <c r="AH51" s="66"/>
      <c r="AI51" s="66"/>
      <c r="AJ51" s="65"/>
      <c r="AK51" s="65"/>
      <c r="AL51" s="65"/>
      <c r="AM51" s="66"/>
      <c r="AN51" s="66"/>
      <c r="AO51" s="66"/>
    </row>
    <row r="52" spans="1:41" s="58" customFormat="1" x14ac:dyDescent="0.2">
      <c r="A52" s="4" t="s">
        <v>16</v>
      </c>
      <c r="B52" s="150"/>
      <c r="C52" s="30"/>
      <c r="D52" s="30"/>
      <c r="E52" s="3"/>
      <c r="F52" s="65"/>
      <c r="G52" s="65"/>
      <c r="H52" s="65"/>
      <c r="I52" s="66"/>
      <c r="J52" s="66"/>
      <c r="K52" s="66"/>
      <c r="L52" s="65"/>
      <c r="M52" s="65"/>
      <c r="N52" s="65"/>
      <c r="O52" s="66"/>
      <c r="P52" s="66"/>
      <c r="Q52" s="66"/>
      <c r="R52" s="65"/>
      <c r="S52" s="65"/>
      <c r="T52" s="65"/>
      <c r="U52" s="66"/>
      <c r="V52" s="66"/>
      <c r="W52" s="66"/>
      <c r="X52" s="65"/>
      <c r="Y52" s="65"/>
      <c r="Z52" s="65"/>
      <c r="AA52" s="66"/>
      <c r="AB52" s="66"/>
      <c r="AC52" s="66"/>
      <c r="AD52" s="65"/>
      <c r="AE52" s="65"/>
      <c r="AF52" s="65"/>
      <c r="AG52" s="66"/>
      <c r="AH52" s="66"/>
      <c r="AI52" s="66"/>
      <c r="AJ52" s="65"/>
      <c r="AK52" s="65"/>
      <c r="AL52" s="65"/>
      <c r="AM52" s="66"/>
      <c r="AN52" s="66"/>
      <c r="AO52" s="66"/>
    </row>
    <row r="53" spans="1:41" s="58" customFormat="1" x14ac:dyDescent="0.2">
      <c r="A53" s="31"/>
      <c r="B53" s="32"/>
      <c r="C53" s="33">
        <f>C4</f>
        <v>2019</v>
      </c>
      <c r="D53" s="34"/>
      <c r="E53" s="3"/>
      <c r="F53" s="65"/>
      <c r="G53" s="65"/>
      <c r="H53" s="65"/>
      <c r="I53" s="66"/>
      <c r="J53" s="66"/>
      <c r="K53" s="66"/>
      <c r="L53" s="65"/>
      <c r="M53" s="65"/>
      <c r="N53" s="65"/>
      <c r="O53" s="66"/>
      <c r="P53" s="66"/>
      <c r="Q53" s="66"/>
      <c r="R53" s="65"/>
      <c r="S53" s="65"/>
      <c r="T53" s="65"/>
      <c r="U53" s="66"/>
      <c r="V53" s="66"/>
      <c r="W53" s="66"/>
      <c r="X53" s="65"/>
      <c r="Y53" s="65"/>
      <c r="Z53" s="65"/>
      <c r="AA53" s="66"/>
      <c r="AB53" s="66"/>
      <c r="AC53" s="66"/>
      <c r="AD53" s="65"/>
      <c r="AE53" s="65"/>
      <c r="AF53" s="65"/>
      <c r="AG53" s="66"/>
      <c r="AH53" s="66"/>
      <c r="AI53" s="66"/>
      <c r="AJ53" s="65"/>
      <c r="AK53" s="65"/>
      <c r="AL53" s="65"/>
      <c r="AM53" s="66"/>
      <c r="AN53" s="66"/>
      <c r="AO53" s="66"/>
    </row>
    <row r="54" spans="1:41" s="58" customFormat="1" ht="15.75" x14ac:dyDescent="0.25">
      <c r="A54" s="35" t="s">
        <v>17</v>
      </c>
      <c r="B54" s="36" t="s">
        <v>4</v>
      </c>
      <c r="C54" s="37"/>
      <c r="D54" s="38"/>
      <c r="E54" s="3"/>
      <c r="F54" s="65"/>
      <c r="G54" s="65"/>
      <c r="H54" s="65"/>
      <c r="I54" s="66"/>
      <c r="J54" s="66"/>
      <c r="K54" s="66"/>
      <c r="L54" s="65"/>
      <c r="M54" s="65"/>
      <c r="N54" s="65"/>
      <c r="O54" s="66"/>
      <c r="P54" s="66"/>
      <c r="Q54" s="66"/>
      <c r="R54" s="65"/>
      <c r="S54" s="65"/>
      <c r="T54" s="65"/>
      <c r="U54" s="66"/>
      <c r="V54" s="66"/>
      <c r="W54" s="66"/>
      <c r="X54" s="65"/>
      <c r="Y54" s="65"/>
      <c r="Z54" s="65"/>
      <c r="AA54" s="66"/>
      <c r="AB54" s="66"/>
      <c r="AC54" s="66"/>
      <c r="AD54" s="65"/>
      <c r="AE54" s="65"/>
      <c r="AF54" s="65"/>
      <c r="AG54" s="66"/>
      <c r="AH54" s="66"/>
      <c r="AI54" s="66"/>
      <c r="AJ54" s="65"/>
      <c r="AK54" s="65"/>
      <c r="AL54" s="65"/>
      <c r="AM54" s="66"/>
      <c r="AN54" s="66"/>
      <c r="AO54" s="66"/>
    </row>
    <row r="55" spans="1:41" s="58" customFormat="1" ht="19.5" customHeight="1" x14ac:dyDescent="0.25">
      <c r="A55" s="39"/>
      <c r="B55" s="40"/>
      <c r="C55" s="41"/>
      <c r="D55" s="38"/>
      <c r="E55" s="3"/>
      <c r="F55" s="65"/>
      <c r="G55" s="65"/>
      <c r="H55" s="65"/>
      <c r="I55" s="66"/>
      <c r="J55" s="66"/>
      <c r="K55" s="66"/>
      <c r="L55" s="65"/>
      <c r="M55" s="65"/>
      <c r="N55" s="65"/>
      <c r="O55" s="66"/>
      <c r="P55" s="66"/>
      <c r="Q55" s="66"/>
      <c r="R55" s="65"/>
      <c r="S55" s="65"/>
      <c r="T55" s="65"/>
      <c r="U55" s="66"/>
      <c r="V55" s="66"/>
      <c r="W55" s="66"/>
      <c r="X55" s="65"/>
      <c r="Y55" s="65"/>
      <c r="Z55" s="65"/>
      <c r="AA55" s="66"/>
      <c r="AB55" s="66"/>
      <c r="AC55" s="66"/>
      <c r="AD55" s="65"/>
      <c r="AE55" s="65"/>
      <c r="AF55" s="65"/>
      <c r="AG55" s="66"/>
      <c r="AH55" s="66"/>
      <c r="AI55" s="66"/>
      <c r="AJ55" s="65"/>
      <c r="AK55" s="65"/>
      <c r="AL55" s="65"/>
      <c r="AM55" s="66"/>
      <c r="AN55" s="66"/>
      <c r="AO55" s="66"/>
    </row>
    <row r="56" spans="1:41" s="58" customFormat="1" ht="15.75" x14ac:dyDescent="0.25">
      <c r="A56" s="4" t="s">
        <v>18</v>
      </c>
      <c r="B56" s="16"/>
      <c r="C56" s="41"/>
      <c r="D56" s="42"/>
      <c r="E56" s="3"/>
      <c r="F56" s="65"/>
      <c r="G56" s="65"/>
      <c r="H56" s="65"/>
      <c r="I56" s="66"/>
      <c r="J56" s="66"/>
      <c r="K56" s="66"/>
      <c r="L56" s="65"/>
      <c r="M56" s="65"/>
      <c r="N56" s="65"/>
      <c r="O56" s="66"/>
      <c r="P56" s="66"/>
      <c r="Q56" s="66"/>
      <c r="R56" s="65"/>
      <c r="S56" s="65"/>
      <c r="T56" s="65"/>
      <c r="U56" s="66"/>
      <c r="V56" s="66"/>
      <c r="W56" s="66"/>
      <c r="X56" s="65"/>
      <c r="Y56" s="65"/>
      <c r="Z56" s="65"/>
      <c r="AA56" s="66"/>
      <c r="AB56" s="66"/>
      <c r="AC56" s="66"/>
      <c r="AD56" s="65"/>
      <c r="AE56" s="65"/>
      <c r="AF56" s="65"/>
      <c r="AG56" s="66"/>
      <c r="AH56" s="66"/>
      <c r="AI56" s="66"/>
      <c r="AJ56" s="65"/>
      <c r="AK56" s="65"/>
      <c r="AL56" s="65"/>
      <c r="AM56" s="66"/>
      <c r="AN56" s="66"/>
      <c r="AO56" s="66"/>
    </row>
    <row r="57" spans="1:41" s="58" customFormat="1" ht="14.1" customHeight="1" x14ac:dyDescent="0.3">
      <c r="A57" s="15"/>
      <c r="B57" s="16"/>
      <c r="C57" s="41"/>
      <c r="D57" s="28"/>
      <c r="E57" s="3"/>
      <c r="F57" s="65"/>
      <c r="G57" s="65"/>
      <c r="H57" s="65"/>
      <c r="I57" s="66"/>
      <c r="J57" s="66"/>
      <c r="K57" s="66"/>
      <c r="L57" s="65"/>
      <c r="M57" s="65"/>
      <c r="N57" s="65"/>
      <c r="O57" s="66"/>
      <c r="P57" s="66"/>
      <c r="Q57" s="66"/>
      <c r="R57" s="65"/>
      <c r="S57" s="65"/>
      <c r="T57" s="65"/>
      <c r="U57" s="66"/>
      <c r="V57" s="66"/>
      <c r="W57" s="66"/>
      <c r="X57" s="65"/>
      <c r="Y57" s="65"/>
      <c r="Z57" s="65"/>
      <c r="AA57" s="66"/>
      <c r="AB57" s="66"/>
      <c r="AC57" s="66"/>
      <c r="AD57" s="65"/>
      <c r="AE57" s="65"/>
      <c r="AF57" s="65"/>
      <c r="AG57" s="66"/>
      <c r="AH57" s="66"/>
      <c r="AI57" s="66"/>
      <c r="AJ57" s="65"/>
      <c r="AK57" s="65"/>
      <c r="AL57" s="65"/>
      <c r="AM57" s="66"/>
      <c r="AN57" s="66"/>
      <c r="AO57" s="66"/>
    </row>
    <row r="58" spans="1:41" s="58" customFormat="1" ht="15.75" x14ac:dyDescent="0.25">
      <c r="A58" s="70" t="s">
        <v>70</v>
      </c>
      <c r="B58" s="16"/>
      <c r="C58" s="41"/>
      <c r="D58" s="42"/>
      <c r="E58" s="3"/>
      <c r="F58" s="65"/>
      <c r="G58" s="65"/>
      <c r="H58" s="65"/>
      <c r="I58" s="66"/>
      <c r="J58" s="66"/>
      <c r="K58" s="66"/>
      <c r="L58" s="65"/>
      <c r="M58" s="65"/>
      <c r="N58" s="65"/>
      <c r="O58" s="66"/>
      <c r="P58" s="66"/>
      <c r="Q58" s="66"/>
      <c r="R58" s="65"/>
      <c r="S58" s="65"/>
      <c r="T58" s="65"/>
      <c r="U58" s="66"/>
      <c r="V58" s="66"/>
      <c r="W58" s="66"/>
      <c r="X58" s="65"/>
      <c r="Y58" s="65"/>
      <c r="Z58" s="65"/>
      <c r="AA58" s="66"/>
      <c r="AB58" s="66"/>
      <c r="AC58" s="66"/>
      <c r="AD58" s="65"/>
      <c r="AE58" s="65"/>
      <c r="AF58" s="65"/>
      <c r="AG58" s="66"/>
      <c r="AH58" s="66"/>
      <c r="AI58" s="66"/>
      <c r="AJ58" s="65"/>
      <c r="AK58" s="65"/>
      <c r="AL58" s="65"/>
      <c r="AM58" s="66"/>
      <c r="AN58" s="66"/>
      <c r="AO58" s="66"/>
    </row>
    <row r="59" spans="1:41" s="58" customFormat="1" ht="15.75" x14ac:dyDescent="0.25">
      <c r="A59" s="68" t="s">
        <v>66</v>
      </c>
      <c r="B59" s="16"/>
      <c r="C59" s="14">
        <f>H59+K59+N59+Q59+T59+W59+Z59+AC59+AF59+AI59+AL59+AO59</f>
        <v>1295500</v>
      </c>
      <c r="D59" s="42"/>
      <c r="E59" s="3"/>
      <c r="F59" s="134">
        <v>1295500</v>
      </c>
      <c r="G59" s="65"/>
      <c r="H59" s="65">
        <f t="shared" ref="H59:H95" si="27">F59+G59</f>
        <v>1295500</v>
      </c>
      <c r="I59" s="132">
        <v>0</v>
      </c>
      <c r="J59" s="66"/>
      <c r="K59" s="66">
        <f t="shared" ref="K59:K95" si="28">I59+J59</f>
        <v>0</v>
      </c>
      <c r="L59" s="132">
        <v>0</v>
      </c>
      <c r="M59" s="65"/>
      <c r="N59" s="65">
        <f t="shared" ref="N59:N95" si="29">L59+M59</f>
        <v>0</v>
      </c>
      <c r="O59" s="132">
        <v>0</v>
      </c>
      <c r="P59" s="66"/>
      <c r="Q59" s="66">
        <f t="shared" ref="Q59:Q95" si="30">O59+P59</f>
        <v>0</v>
      </c>
      <c r="R59" s="132">
        <v>0</v>
      </c>
      <c r="S59" s="65"/>
      <c r="T59" s="65">
        <f t="shared" ref="T59:T95" si="31">R59+S59</f>
        <v>0</v>
      </c>
      <c r="U59" s="66"/>
      <c r="V59" s="66"/>
      <c r="W59" s="66">
        <f t="shared" ref="W59:W95" si="32">U59+V59</f>
        <v>0</v>
      </c>
      <c r="X59" s="65"/>
      <c r="Y59" s="65"/>
      <c r="Z59" s="65">
        <f t="shared" ref="Z59:Z95" si="33">X59+Y59</f>
        <v>0</v>
      </c>
      <c r="AA59" s="66"/>
      <c r="AB59" s="66"/>
      <c r="AC59" s="66">
        <f t="shared" ref="AC59:AC95" si="34">AA59+AB59</f>
        <v>0</v>
      </c>
      <c r="AD59" s="65"/>
      <c r="AE59" s="65"/>
      <c r="AF59" s="65">
        <f t="shared" ref="AF59:AF95" si="35">AD59+AE59</f>
        <v>0</v>
      </c>
      <c r="AG59" s="66"/>
      <c r="AH59" s="66"/>
      <c r="AI59" s="66">
        <f t="shared" ref="AI59:AI95" si="36">AG59+AH59</f>
        <v>0</v>
      </c>
      <c r="AJ59" s="65"/>
      <c r="AK59" s="65"/>
      <c r="AL59" s="65">
        <f t="shared" ref="AL59:AL95" si="37">AJ59+AK59</f>
        <v>0</v>
      </c>
      <c r="AM59" s="66"/>
      <c r="AN59" s="66"/>
      <c r="AO59" s="66">
        <f t="shared" ref="AO59:AO60" si="38">AM59+AN59</f>
        <v>0</v>
      </c>
    </row>
    <row r="60" spans="1:41" s="58" customFormat="1" ht="17.25" x14ac:dyDescent="0.3">
      <c r="A60" s="68" t="s">
        <v>67</v>
      </c>
      <c r="B60" s="16"/>
      <c r="C60" s="14">
        <f>H60+K60+N60+Q60+T60+W60+Z60+AC60+AF60+AI60+AL60+AO60</f>
        <v>60500</v>
      </c>
      <c r="D60" s="24"/>
      <c r="E60" s="3"/>
      <c r="F60" s="134">
        <v>6000</v>
      </c>
      <c r="G60" s="65"/>
      <c r="H60" s="65">
        <f t="shared" si="27"/>
        <v>6000</v>
      </c>
      <c r="I60" s="132">
        <v>0</v>
      </c>
      <c r="J60" s="66"/>
      <c r="K60" s="66">
        <f t="shared" si="28"/>
        <v>0</v>
      </c>
      <c r="L60" s="132">
        <v>0</v>
      </c>
      <c r="M60" s="65"/>
      <c r="N60" s="65">
        <f t="shared" si="29"/>
        <v>0</v>
      </c>
      <c r="O60" s="132">
        <v>37300</v>
      </c>
      <c r="P60" s="66"/>
      <c r="Q60" s="66">
        <f t="shared" si="30"/>
        <v>37300</v>
      </c>
      <c r="R60" s="132">
        <v>17200</v>
      </c>
      <c r="S60" s="65"/>
      <c r="T60" s="65">
        <f t="shared" si="31"/>
        <v>17200</v>
      </c>
      <c r="U60" s="66"/>
      <c r="V60" s="66"/>
      <c r="W60" s="66">
        <f t="shared" si="32"/>
        <v>0</v>
      </c>
      <c r="X60" s="65"/>
      <c r="Y60" s="65"/>
      <c r="Z60" s="65">
        <f t="shared" si="33"/>
        <v>0</v>
      </c>
      <c r="AA60" s="66"/>
      <c r="AB60" s="66"/>
      <c r="AC60" s="66">
        <f t="shared" si="34"/>
        <v>0</v>
      </c>
      <c r="AD60" s="65"/>
      <c r="AE60" s="65"/>
      <c r="AF60" s="65">
        <f t="shared" si="35"/>
        <v>0</v>
      </c>
      <c r="AG60" s="66"/>
      <c r="AH60" s="66"/>
      <c r="AI60" s="66">
        <f t="shared" si="36"/>
        <v>0</v>
      </c>
      <c r="AJ60" s="65"/>
      <c r="AK60" s="65"/>
      <c r="AL60" s="65">
        <f t="shared" si="37"/>
        <v>0</v>
      </c>
      <c r="AM60" s="66"/>
      <c r="AN60" s="66"/>
      <c r="AO60" s="66">
        <f t="shared" si="38"/>
        <v>0</v>
      </c>
    </row>
    <row r="61" spans="1:41" s="58" customFormat="1" ht="17.25" x14ac:dyDescent="0.3">
      <c r="A61" s="4" t="s">
        <v>19</v>
      </c>
      <c r="B61" s="16"/>
      <c r="C61" s="17">
        <f>SUM(C59:C60)</f>
        <v>1356000</v>
      </c>
      <c r="D61" s="28"/>
      <c r="E61" s="3"/>
      <c r="F61" s="17">
        <f>SUM(F59:F60)</f>
        <v>1301500</v>
      </c>
      <c r="G61" s="17">
        <f t="shared" ref="G61:AO61" si="39">SUM(G59:G60)</f>
        <v>0</v>
      </c>
      <c r="H61" s="17">
        <f t="shared" si="39"/>
        <v>1301500</v>
      </c>
      <c r="I61" s="17">
        <f t="shared" si="39"/>
        <v>0</v>
      </c>
      <c r="J61" s="17">
        <f t="shared" si="39"/>
        <v>0</v>
      </c>
      <c r="K61" s="17">
        <f t="shared" si="39"/>
        <v>0</v>
      </c>
      <c r="L61" s="17">
        <f t="shared" si="39"/>
        <v>0</v>
      </c>
      <c r="M61" s="17">
        <f t="shared" si="39"/>
        <v>0</v>
      </c>
      <c r="N61" s="17">
        <f t="shared" si="39"/>
        <v>0</v>
      </c>
      <c r="O61" s="17">
        <f t="shared" si="39"/>
        <v>37300</v>
      </c>
      <c r="P61" s="17">
        <f t="shared" si="39"/>
        <v>0</v>
      </c>
      <c r="Q61" s="17">
        <f t="shared" si="39"/>
        <v>37300</v>
      </c>
      <c r="R61" s="17">
        <f t="shared" si="39"/>
        <v>17200</v>
      </c>
      <c r="S61" s="17">
        <f t="shared" si="39"/>
        <v>0</v>
      </c>
      <c r="T61" s="17">
        <f t="shared" si="39"/>
        <v>17200</v>
      </c>
      <c r="U61" s="17">
        <f t="shared" si="39"/>
        <v>0</v>
      </c>
      <c r="V61" s="17">
        <f t="shared" si="39"/>
        <v>0</v>
      </c>
      <c r="W61" s="17">
        <f t="shared" si="39"/>
        <v>0</v>
      </c>
      <c r="X61" s="17">
        <f t="shared" si="39"/>
        <v>0</v>
      </c>
      <c r="Y61" s="17">
        <f t="shared" si="39"/>
        <v>0</v>
      </c>
      <c r="Z61" s="17">
        <f t="shared" si="39"/>
        <v>0</v>
      </c>
      <c r="AA61" s="17">
        <f t="shared" si="39"/>
        <v>0</v>
      </c>
      <c r="AB61" s="17">
        <f t="shared" si="39"/>
        <v>0</v>
      </c>
      <c r="AC61" s="17">
        <f t="shared" si="39"/>
        <v>0</v>
      </c>
      <c r="AD61" s="17">
        <f t="shared" si="39"/>
        <v>0</v>
      </c>
      <c r="AE61" s="17">
        <f t="shared" si="39"/>
        <v>0</v>
      </c>
      <c r="AF61" s="17">
        <f t="shared" si="39"/>
        <v>0</v>
      </c>
      <c r="AG61" s="17">
        <f t="shared" si="39"/>
        <v>0</v>
      </c>
      <c r="AH61" s="17">
        <f t="shared" si="39"/>
        <v>0</v>
      </c>
      <c r="AI61" s="17">
        <f t="shared" si="39"/>
        <v>0</v>
      </c>
      <c r="AJ61" s="17">
        <f t="shared" si="39"/>
        <v>0</v>
      </c>
      <c r="AK61" s="17">
        <f t="shared" si="39"/>
        <v>0</v>
      </c>
      <c r="AL61" s="17">
        <f t="shared" si="39"/>
        <v>0</v>
      </c>
      <c r="AM61" s="17">
        <f t="shared" si="39"/>
        <v>0</v>
      </c>
      <c r="AN61" s="17">
        <f t="shared" si="39"/>
        <v>0</v>
      </c>
      <c r="AO61" s="17">
        <f t="shared" si="39"/>
        <v>0</v>
      </c>
    </row>
    <row r="62" spans="1:41" s="58" customFormat="1" ht="17.25" x14ac:dyDescent="0.3">
      <c r="A62" s="4"/>
      <c r="B62" s="16"/>
      <c r="C62" s="19"/>
      <c r="D62" s="28"/>
      <c r="E62" s="3"/>
      <c r="F62" s="65"/>
      <c r="G62" s="65"/>
      <c r="H62" s="65"/>
      <c r="I62" s="66"/>
      <c r="J62" s="66"/>
      <c r="K62" s="66"/>
      <c r="L62" s="65"/>
      <c r="M62" s="65"/>
      <c r="N62" s="65"/>
      <c r="O62" s="66"/>
      <c r="P62" s="66"/>
      <c r="Q62" s="66"/>
      <c r="R62" s="65"/>
      <c r="S62" s="65"/>
      <c r="T62" s="65"/>
      <c r="U62" s="66"/>
      <c r="V62" s="66"/>
      <c r="W62" s="66"/>
      <c r="X62" s="65"/>
      <c r="Y62" s="65"/>
      <c r="Z62" s="65"/>
      <c r="AA62" s="66"/>
      <c r="AB62" s="66"/>
      <c r="AC62" s="66"/>
      <c r="AD62" s="65"/>
      <c r="AE62" s="65"/>
      <c r="AF62" s="65"/>
      <c r="AG62" s="66"/>
      <c r="AH62" s="66"/>
      <c r="AI62" s="66"/>
      <c r="AJ62" s="65"/>
      <c r="AK62" s="65"/>
      <c r="AL62" s="65"/>
      <c r="AM62" s="66"/>
      <c r="AN62" s="66"/>
      <c r="AO62" s="66"/>
    </row>
    <row r="63" spans="1:41" s="58" customFormat="1" ht="17.25" x14ac:dyDescent="0.3">
      <c r="A63" s="70" t="s">
        <v>71</v>
      </c>
      <c r="B63" s="16"/>
      <c r="C63" s="19"/>
      <c r="D63" s="28"/>
      <c r="E63" s="3"/>
      <c r="F63" s="65"/>
      <c r="G63" s="65"/>
      <c r="H63" s="65"/>
      <c r="I63" s="66"/>
      <c r="J63" s="66"/>
      <c r="K63" s="66"/>
      <c r="L63" s="65"/>
      <c r="M63" s="65"/>
      <c r="N63" s="65"/>
      <c r="O63" s="66"/>
      <c r="P63" s="66"/>
      <c r="Q63" s="66"/>
      <c r="R63" s="65"/>
      <c r="S63" s="65"/>
      <c r="T63" s="65"/>
      <c r="U63" s="66"/>
      <c r="V63" s="66"/>
      <c r="W63" s="66"/>
      <c r="X63" s="65"/>
      <c r="Y63" s="65"/>
      <c r="Z63" s="65"/>
      <c r="AA63" s="66"/>
      <c r="AB63" s="66"/>
      <c r="AC63" s="66"/>
      <c r="AD63" s="65"/>
      <c r="AE63" s="65"/>
      <c r="AF63" s="65"/>
      <c r="AG63" s="66"/>
      <c r="AH63" s="66"/>
      <c r="AI63" s="66"/>
      <c r="AJ63" s="65"/>
      <c r="AK63" s="65"/>
      <c r="AL63" s="65"/>
      <c r="AM63" s="66"/>
      <c r="AN63" s="66"/>
      <c r="AO63" s="66"/>
    </row>
    <row r="64" spans="1:41" s="58" customFormat="1" ht="17.25" x14ac:dyDescent="0.3">
      <c r="A64" s="68" t="s">
        <v>72</v>
      </c>
      <c r="B64" s="16"/>
      <c r="C64" s="14">
        <f>H64+K64+N64+Q64+T64+W64+Z64+AC64+AF64+AI64+AL64+AO64</f>
        <v>0</v>
      </c>
      <c r="D64" s="28"/>
      <c r="E64" s="3"/>
      <c r="F64" s="65">
        <v>0</v>
      </c>
      <c r="G64" s="65"/>
      <c r="H64" s="65">
        <f t="shared" si="27"/>
        <v>0</v>
      </c>
      <c r="I64" s="66">
        <v>0</v>
      </c>
      <c r="J64" s="66"/>
      <c r="K64" s="66"/>
      <c r="L64" s="65">
        <v>0</v>
      </c>
      <c r="M64" s="65"/>
      <c r="N64" s="65"/>
      <c r="O64" s="66">
        <v>0</v>
      </c>
      <c r="P64" s="66"/>
      <c r="Q64" s="66"/>
      <c r="R64" s="65">
        <v>0</v>
      </c>
      <c r="S64" s="65"/>
      <c r="T64" s="65"/>
      <c r="U64" s="66"/>
      <c r="V64" s="66"/>
      <c r="W64" s="66"/>
      <c r="X64" s="65"/>
      <c r="Y64" s="65"/>
      <c r="Z64" s="65"/>
      <c r="AA64" s="66"/>
      <c r="AB64" s="66"/>
      <c r="AC64" s="66"/>
      <c r="AD64" s="65"/>
      <c r="AE64" s="65"/>
      <c r="AF64" s="65"/>
      <c r="AG64" s="66"/>
      <c r="AH64" s="66"/>
      <c r="AI64" s="66"/>
      <c r="AJ64" s="65"/>
      <c r="AK64" s="65"/>
      <c r="AL64" s="65"/>
      <c r="AM64" s="66"/>
      <c r="AN64" s="66"/>
      <c r="AO64" s="66"/>
    </row>
    <row r="65" spans="1:41" s="58" customFormat="1" ht="17.25" x14ac:dyDescent="0.3">
      <c r="A65" s="71" t="s">
        <v>73</v>
      </c>
      <c r="B65" s="16"/>
      <c r="C65" s="17">
        <f>SUM(C63:C64)</f>
        <v>0</v>
      </c>
      <c r="D65" s="28"/>
      <c r="E65" s="3"/>
      <c r="F65" s="17">
        <f>SUM(F63:F64)</f>
        <v>0</v>
      </c>
      <c r="G65" s="17">
        <f t="shared" ref="G65:AO65" si="40">SUM(G63:G64)</f>
        <v>0</v>
      </c>
      <c r="H65" s="17">
        <f t="shared" si="40"/>
        <v>0</v>
      </c>
      <c r="I65" s="17">
        <f t="shared" si="40"/>
        <v>0</v>
      </c>
      <c r="J65" s="17">
        <f t="shared" si="40"/>
        <v>0</v>
      </c>
      <c r="K65" s="17">
        <f t="shared" si="40"/>
        <v>0</v>
      </c>
      <c r="L65" s="17">
        <f t="shared" si="40"/>
        <v>0</v>
      </c>
      <c r="M65" s="17">
        <f t="shared" si="40"/>
        <v>0</v>
      </c>
      <c r="N65" s="17">
        <f t="shared" si="40"/>
        <v>0</v>
      </c>
      <c r="O65" s="17">
        <f t="shared" si="40"/>
        <v>0</v>
      </c>
      <c r="P65" s="17">
        <f t="shared" si="40"/>
        <v>0</v>
      </c>
      <c r="Q65" s="17">
        <f t="shared" si="40"/>
        <v>0</v>
      </c>
      <c r="R65" s="17">
        <f t="shared" si="40"/>
        <v>0</v>
      </c>
      <c r="S65" s="17">
        <f t="shared" si="40"/>
        <v>0</v>
      </c>
      <c r="T65" s="17">
        <f t="shared" si="40"/>
        <v>0</v>
      </c>
      <c r="U65" s="17">
        <f t="shared" si="40"/>
        <v>0</v>
      </c>
      <c r="V65" s="17">
        <f t="shared" si="40"/>
        <v>0</v>
      </c>
      <c r="W65" s="17">
        <f t="shared" si="40"/>
        <v>0</v>
      </c>
      <c r="X65" s="17">
        <f t="shared" si="40"/>
        <v>0</v>
      </c>
      <c r="Y65" s="17">
        <f t="shared" si="40"/>
        <v>0</v>
      </c>
      <c r="Z65" s="17">
        <f t="shared" si="40"/>
        <v>0</v>
      </c>
      <c r="AA65" s="17">
        <f t="shared" si="40"/>
        <v>0</v>
      </c>
      <c r="AB65" s="17">
        <f t="shared" si="40"/>
        <v>0</v>
      </c>
      <c r="AC65" s="17">
        <f t="shared" si="40"/>
        <v>0</v>
      </c>
      <c r="AD65" s="17">
        <f t="shared" si="40"/>
        <v>0</v>
      </c>
      <c r="AE65" s="17">
        <f t="shared" si="40"/>
        <v>0</v>
      </c>
      <c r="AF65" s="17">
        <f t="shared" si="40"/>
        <v>0</v>
      </c>
      <c r="AG65" s="17">
        <f t="shared" si="40"/>
        <v>0</v>
      </c>
      <c r="AH65" s="17">
        <f t="shared" si="40"/>
        <v>0</v>
      </c>
      <c r="AI65" s="17">
        <f t="shared" si="40"/>
        <v>0</v>
      </c>
      <c r="AJ65" s="17">
        <f t="shared" si="40"/>
        <v>0</v>
      </c>
      <c r="AK65" s="17">
        <f t="shared" si="40"/>
        <v>0</v>
      </c>
      <c r="AL65" s="17">
        <f t="shared" si="40"/>
        <v>0</v>
      </c>
      <c r="AM65" s="17">
        <f t="shared" si="40"/>
        <v>0</v>
      </c>
      <c r="AN65" s="17">
        <f t="shared" si="40"/>
        <v>0</v>
      </c>
      <c r="AO65" s="17">
        <f t="shared" si="40"/>
        <v>0</v>
      </c>
    </row>
    <row r="66" spans="1:41" s="58" customFormat="1" ht="18.95" customHeight="1" x14ac:dyDescent="0.3">
      <c r="A66" s="70" t="s">
        <v>68</v>
      </c>
      <c r="B66" s="16"/>
      <c r="C66" s="17">
        <f>C61+C65</f>
        <v>1356000</v>
      </c>
      <c r="D66" s="28"/>
      <c r="E66" s="3"/>
      <c r="F66" s="17">
        <f>F61+F65</f>
        <v>1301500</v>
      </c>
      <c r="G66" s="17">
        <f t="shared" ref="G66:AO66" si="41">G61+G65</f>
        <v>0</v>
      </c>
      <c r="H66" s="17">
        <f t="shared" si="41"/>
        <v>1301500</v>
      </c>
      <c r="I66" s="17">
        <f t="shared" si="41"/>
        <v>0</v>
      </c>
      <c r="J66" s="17">
        <f t="shared" si="41"/>
        <v>0</v>
      </c>
      <c r="K66" s="17">
        <f t="shared" si="41"/>
        <v>0</v>
      </c>
      <c r="L66" s="17">
        <f t="shared" si="41"/>
        <v>0</v>
      </c>
      <c r="M66" s="17">
        <f t="shared" si="41"/>
        <v>0</v>
      </c>
      <c r="N66" s="17">
        <f t="shared" si="41"/>
        <v>0</v>
      </c>
      <c r="O66" s="17">
        <f t="shared" si="41"/>
        <v>37300</v>
      </c>
      <c r="P66" s="17">
        <f t="shared" si="41"/>
        <v>0</v>
      </c>
      <c r="Q66" s="17">
        <f t="shared" si="41"/>
        <v>37300</v>
      </c>
      <c r="R66" s="17">
        <f t="shared" si="41"/>
        <v>17200</v>
      </c>
      <c r="S66" s="17">
        <f t="shared" si="41"/>
        <v>0</v>
      </c>
      <c r="T66" s="17">
        <f t="shared" si="41"/>
        <v>17200</v>
      </c>
      <c r="U66" s="17">
        <f t="shared" si="41"/>
        <v>0</v>
      </c>
      <c r="V66" s="17">
        <f t="shared" si="41"/>
        <v>0</v>
      </c>
      <c r="W66" s="17">
        <f t="shared" si="41"/>
        <v>0</v>
      </c>
      <c r="X66" s="17">
        <f t="shared" si="41"/>
        <v>0</v>
      </c>
      <c r="Y66" s="17">
        <f t="shared" si="41"/>
        <v>0</v>
      </c>
      <c r="Z66" s="17">
        <f t="shared" si="41"/>
        <v>0</v>
      </c>
      <c r="AA66" s="17">
        <f t="shared" si="41"/>
        <v>0</v>
      </c>
      <c r="AB66" s="17">
        <f t="shared" si="41"/>
        <v>0</v>
      </c>
      <c r="AC66" s="17">
        <f t="shared" si="41"/>
        <v>0</v>
      </c>
      <c r="AD66" s="17">
        <f t="shared" si="41"/>
        <v>0</v>
      </c>
      <c r="AE66" s="17">
        <f t="shared" si="41"/>
        <v>0</v>
      </c>
      <c r="AF66" s="17">
        <f t="shared" si="41"/>
        <v>0</v>
      </c>
      <c r="AG66" s="17">
        <f t="shared" si="41"/>
        <v>0</v>
      </c>
      <c r="AH66" s="17">
        <f t="shared" si="41"/>
        <v>0</v>
      </c>
      <c r="AI66" s="17">
        <f t="shared" si="41"/>
        <v>0</v>
      </c>
      <c r="AJ66" s="17">
        <f t="shared" si="41"/>
        <v>0</v>
      </c>
      <c r="AK66" s="17">
        <f t="shared" si="41"/>
        <v>0</v>
      </c>
      <c r="AL66" s="17">
        <f t="shared" si="41"/>
        <v>0</v>
      </c>
      <c r="AM66" s="17">
        <f t="shared" si="41"/>
        <v>0</v>
      </c>
      <c r="AN66" s="17">
        <f t="shared" si="41"/>
        <v>0</v>
      </c>
      <c r="AO66" s="17">
        <f t="shared" si="41"/>
        <v>0</v>
      </c>
    </row>
    <row r="67" spans="1:41" s="58" customFormat="1" ht="18.95" customHeight="1" x14ac:dyDescent="0.3">
      <c r="A67" s="15"/>
      <c r="B67" s="16"/>
      <c r="C67" s="28"/>
      <c r="D67" s="28"/>
      <c r="E67" s="3"/>
      <c r="F67" s="65"/>
      <c r="G67" s="65"/>
      <c r="H67" s="65"/>
      <c r="I67" s="66"/>
      <c r="J67" s="66"/>
      <c r="K67" s="66"/>
      <c r="L67" s="65"/>
      <c r="M67" s="65"/>
      <c r="N67" s="65"/>
      <c r="O67" s="66"/>
      <c r="P67" s="66"/>
      <c r="Q67" s="66"/>
      <c r="R67" s="65"/>
      <c r="S67" s="65"/>
      <c r="T67" s="65"/>
      <c r="U67" s="66"/>
      <c r="V67" s="66"/>
      <c r="W67" s="66"/>
      <c r="X67" s="65"/>
      <c r="Y67" s="65"/>
      <c r="Z67" s="65"/>
      <c r="AA67" s="66"/>
      <c r="AB67" s="66"/>
      <c r="AC67" s="66"/>
      <c r="AD67" s="65"/>
      <c r="AE67" s="65"/>
      <c r="AF67" s="65"/>
      <c r="AG67" s="66"/>
      <c r="AH67" s="66"/>
      <c r="AI67" s="66"/>
      <c r="AJ67" s="65"/>
      <c r="AK67" s="65"/>
      <c r="AL67" s="65"/>
      <c r="AM67" s="66"/>
      <c r="AN67" s="66"/>
      <c r="AO67" s="66"/>
    </row>
    <row r="68" spans="1:41" s="58" customFormat="1" ht="17.25" x14ac:dyDescent="0.3">
      <c r="A68" s="70" t="s">
        <v>74</v>
      </c>
      <c r="B68" s="16"/>
      <c r="C68" s="43"/>
      <c r="D68" s="44"/>
      <c r="E68" s="3"/>
      <c r="F68" s="65"/>
      <c r="G68" s="65"/>
      <c r="H68" s="65"/>
      <c r="I68" s="66"/>
      <c r="J68" s="66"/>
      <c r="K68" s="66"/>
      <c r="L68" s="65"/>
      <c r="M68" s="65"/>
      <c r="N68" s="65"/>
      <c r="O68" s="66"/>
      <c r="P68" s="66"/>
      <c r="Q68" s="66"/>
      <c r="R68" s="65"/>
      <c r="S68" s="65"/>
      <c r="T68" s="65"/>
      <c r="U68" s="66"/>
      <c r="V68" s="66"/>
      <c r="W68" s="66"/>
      <c r="X68" s="65"/>
      <c r="Y68" s="65"/>
      <c r="Z68" s="65"/>
      <c r="AA68" s="66"/>
      <c r="AB68" s="66"/>
      <c r="AC68" s="66"/>
      <c r="AD68" s="65"/>
      <c r="AE68" s="65"/>
      <c r="AF68" s="65"/>
      <c r="AG68" s="66"/>
      <c r="AH68" s="66"/>
      <c r="AI68" s="66"/>
      <c r="AJ68" s="65"/>
      <c r="AK68" s="65"/>
      <c r="AL68" s="65"/>
      <c r="AM68" s="66"/>
      <c r="AN68" s="66"/>
      <c r="AO68" s="66"/>
    </row>
    <row r="69" spans="1:41" s="58" customFormat="1" ht="17.25" x14ac:dyDescent="0.3">
      <c r="A69" s="15" t="s">
        <v>21</v>
      </c>
      <c r="B69" s="16"/>
      <c r="C69" s="14">
        <f t="shared" ref="C69" si="42">H69+K69+N69+Q69+T69+W69+Z69+AC69+AF69+AI69+AL69</f>
        <v>0</v>
      </c>
      <c r="D69" s="45"/>
      <c r="E69" s="3"/>
      <c r="F69" s="132">
        <v>0</v>
      </c>
      <c r="G69" s="65"/>
      <c r="H69" s="65">
        <f t="shared" si="27"/>
        <v>0</v>
      </c>
      <c r="I69" s="132">
        <v>0</v>
      </c>
      <c r="J69" s="66"/>
      <c r="K69" s="66">
        <f t="shared" si="28"/>
        <v>0</v>
      </c>
      <c r="L69" s="65">
        <v>0</v>
      </c>
      <c r="M69" s="65"/>
      <c r="N69" s="65">
        <f t="shared" si="29"/>
        <v>0</v>
      </c>
      <c r="O69" s="132">
        <v>0</v>
      </c>
      <c r="P69" s="66"/>
      <c r="Q69" s="66">
        <f t="shared" si="30"/>
        <v>0</v>
      </c>
      <c r="R69" s="132">
        <v>0</v>
      </c>
      <c r="S69" s="65"/>
      <c r="T69" s="65">
        <f t="shared" si="31"/>
        <v>0</v>
      </c>
      <c r="U69" s="132"/>
      <c r="V69" s="66"/>
      <c r="W69" s="66">
        <f t="shared" si="32"/>
        <v>0</v>
      </c>
      <c r="X69" s="132"/>
      <c r="Y69" s="65"/>
      <c r="Z69" s="65">
        <f t="shared" si="33"/>
        <v>0</v>
      </c>
      <c r="AA69" s="132"/>
      <c r="AB69" s="66"/>
      <c r="AC69" s="66">
        <f t="shared" si="34"/>
        <v>0</v>
      </c>
      <c r="AD69" s="65"/>
      <c r="AE69" s="65"/>
      <c r="AF69" s="65">
        <f t="shared" si="35"/>
        <v>0</v>
      </c>
      <c r="AG69" s="66"/>
      <c r="AH69" s="66"/>
      <c r="AI69" s="66">
        <f t="shared" si="36"/>
        <v>0</v>
      </c>
      <c r="AJ69" s="65"/>
      <c r="AK69" s="65"/>
      <c r="AL69" s="65">
        <f t="shared" si="37"/>
        <v>0</v>
      </c>
      <c r="AM69" s="66"/>
      <c r="AN69" s="66"/>
      <c r="AO69" s="66">
        <f t="shared" ref="AO69:AO72" si="43">AM69+AN69</f>
        <v>0</v>
      </c>
    </row>
    <row r="70" spans="1:41" s="58" customFormat="1" ht="17.25" x14ac:dyDescent="0.3">
      <c r="A70" s="15" t="s">
        <v>22</v>
      </c>
      <c r="B70" s="16"/>
      <c r="C70" s="14">
        <f>H70+K70+N70+Q70+T70+W70+Z70+AC70+AF70+AI70+AL70+AO70</f>
        <v>88191</v>
      </c>
      <c r="D70" s="24"/>
      <c r="E70" s="3"/>
      <c r="F70" s="132">
        <v>28691</v>
      </c>
      <c r="G70" s="65"/>
      <c r="H70" s="65">
        <f t="shared" si="27"/>
        <v>28691</v>
      </c>
      <c r="I70" s="132">
        <v>11750</v>
      </c>
      <c r="J70" s="66"/>
      <c r="K70" s="66">
        <f t="shared" si="28"/>
        <v>11750</v>
      </c>
      <c r="L70" s="65">
        <v>0</v>
      </c>
      <c r="M70" s="65"/>
      <c r="N70" s="65">
        <f t="shared" si="29"/>
        <v>0</v>
      </c>
      <c r="O70" s="132">
        <v>28750</v>
      </c>
      <c r="P70" s="66"/>
      <c r="Q70" s="66">
        <f t="shared" si="30"/>
        <v>28750</v>
      </c>
      <c r="R70" s="132">
        <v>1000</v>
      </c>
      <c r="S70" s="65"/>
      <c r="T70" s="65">
        <f t="shared" si="31"/>
        <v>1000</v>
      </c>
      <c r="U70" s="132"/>
      <c r="V70" s="66"/>
      <c r="W70" s="66">
        <f t="shared" si="32"/>
        <v>0</v>
      </c>
      <c r="X70" s="132">
        <v>18000</v>
      </c>
      <c r="Y70" s="65"/>
      <c r="Z70" s="65">
        <f t="shared" si="33"/>
        <v>18000</v>
      </c>
      <c r="AA70" s="132">
        <v>0</v>
      </c>
      <c r="AB70" s="66"/>
      <c r="AC70" s="66">
        <f t="shared" si="34"/>
        <v>0</v>
      </c>
      <c r="AD70" s="65"/>
      <c r="AE70" s="65"/>
      <c r="AF70" s="65">
        <f t="shared" si="35"/>
        <v>0</v>
      </c>
      <c r="AG70" s="66"/>
      <c r="AH70" s="66"/>
      <c r="AI70" s="66">
        <f t="shared" si="36"/>
        <v>0</v>
      </c>
      <c r="AJ70" s="65"/>
      <c r="AK70" s="65"/>
      <c r="AL70" s="65">
        <f t="shared" si="37"/>
        <v>0</v>
      </c>
      <c r="AM70" s="66"/>
      <c r="AN70" s="66"/>
      <c r="AO70" s="66">
        <f t="shared" si="43"/>
        <v>0</v>
      </c>
    </row>
    <row r="71" spans="1:41" s="58" customFormat="1" ht="17.25" x14ac:dyDescent="0.3">
      <c r="A71" s="15" t="s">
        <v>23</v>
      </c>
      <c r="B71" s="16"/>
      <c r="C71" s="14">
        <f>H71+K71+N71+Q71+T71+W71+Z71+AC71+AF71+AI71+AL71+AO71</f>
        <v>32845</v>
      </c>
      <c r="D71" s="24"/>
      <c r="E71" s="3"/>
      <c r="F71" s="132">
        <v>162768</v>
      </c>
      <c r="G71" s="120">
        <f>-100000-51236</f>
        <v>-151236</v>
      </c>
      <c r="H71" s="65">
        <f t="shared" si="27"/>
        <v>11532</v>
      </c>
      <c r="I71" s="132">
        <v>181345</v>
      </c>
      <c r="J71" s="120">
        <v>-181345</v>
      </c>
      <c r="K71" s="66">
        <f t="shared" si="28"/>
        <v>0</v>
      </c>
      <c r="L71" s="65">
        <v>0</v>
      </c>
      <c r="M71" s="65"/>
      <c r="N71" s="65">
        <f t="shared" si="29"/>
        <v>0</v>
      </c>
      <c r="O71" s="132">
        <v>423300</v>
      </c>
      <c r="P71" s="120">
        <f>-331000-49970-28017</f>
        <v>-408987</v>
      </c>
      <c r="Q71" s="66">
        <f t="shared" si="30"/>
        <v>14313</v>
      </c>
      <c r="R71" s="132">
        <v>0</v>
      </c>
      <c r="S71" s="65"/>
      <c r="T71" s="65">
        <f t="shared" si="31"/>
        <v>0</v>
      </c>
      <c r="U71" s="132">
        <v>11495</v>
      </c>
      <c r="V71" s="120">
        <v>-11495</v>
      </c>
      <c r="W71" s="66">
        <f t="shared" si="32"/>
        <v>0</v>
      </c>
      <c r="X71" s="132">
        <v>7000</v>
      </c>
      <c r="Y71" s="65"/>
      <c r="Z71" s="65">
        <f t="shared" si="33"/>
        <v>7000</v>
      </c>
      <c r="AA71" s="132">
        <v>10770</v>
      </c>
      <c r="AB71" s="120">
        <f>-8570-2200</f>
        <v>-10770</v>
      </c>
      <c r="AC71" s="66">
        <f t="shared" si="34"/>
        <v>0</v>
      </c>
      <c r="AD71" s="65">
        <v>0</v>
      </c>
      <c r="AE71" s="120"/>
      <c r="AF71" s="65">
        <f t="shared" si="35"/>
        <v>0</v>
      </c>
      <c r="AG71" s="66"/>
      <c r="AH71" s="66"/>
      <c r="AI71" s="66">
        <f t="shared" si="36"/>
        <v>0</v>
      </c>
      <c r="AJ71" s="65"/>
      <c r="AK71" s="65"/>
      <c r="AL71" s="65">
        <f t="shared" si="37"/>
        <v>0</v>
      </c>
      <c r="AM71" s="66"/>
      <c r="AN71" s="66"/>
      <c r="AO71" s="66">
        <f t="shared" si="43"/>
        <v>0</v>
      </c>
    </row>
    <row r="72" spans="1:41" s="58" customFormat="1" ht="17.25" x14ac:dyDescent="0.3">
      <c r="A72" s="15" t="s">
        <v>24</v>
      </c>
      <c r="B72" s="16"/>
      <c r="C72" s="14">
        <f>H72+K72+N72+Q72+T72+W72+Z72+AC72+AF72+AI72+AL72+AO72</f>
        <v>2509168</v>
      </c>
      <c r="D72" s="24"/>
      <c r="E72" s="3"/>
      <c r="F72" s="132">
        <v>441466</v>
      </c>
      <c r="G72" s="65"/>
      <c r="H72" s="65">
        <f t="shared" si="27"/>
        <v>441466</v>
      </c>
      <c r="I72" s="132">
        <v>86556</v>
      </c>
      <c r="J72" s="66"/>
      <c r="K72" s="66">
        <f t="shared" si="28"/>
        <v>86556</v>
      </c>
      <c r="L72" s="65">
        <v>0</v>
      </c>
      <c r="M72" s="65"/>
      <c r="N72" s="65">
        <f t="shared" si="29"/>
        <v>0</v>
      </c>
      <c r="O72" s="132">
        <v>85116</v>
      </c>
      <c r="P72" s="66"/>
      <c r="Q72" s="66">
        <f t="shared" si="30"/>
        <v>85116</v>
      </c>
      <c r="R72" s="132">
        <v>1715479</v>
      </c>
      <c r="S72" s="65"/>
      <c r="T72" s="65">
        <f t="shared" si="31"/>
        <v>1715479</v>
      </c>
      <c r="U72" s="132">
        <v>51996</v>
      </c>
      <c r="V72" s="66"/>
      <c r="W72" s="66">
        <f t="shared" si="32"/>
        <v>51996</v>
      </c>
      <c r="X72" s="132">
        <v>68604</v>
      </c>
      <c r="Y72" s="65"/>
      <c r="Z72" s="65">
        <f t="shared" si="33"/>
        <v>68604</v>
      </c>
      <c r="AA72" s="132">
        <v>56306</v>
      </c>
      <c r="AB72" s="66"/>
      <c r="AC72" s="66">
        <f t="shared" si="34"/>
        <v>56306</v>
      </c>
      <c r="AD72" s="65">
        <v>3645</v>
      </c>
      <c r="AE72" s="65"/>
      <c r="AF72" s="65">
        <f t="shared" si="35"/>
        <v>3645</v>
      </c>
      <c r="AG72" s="66"/>
      <c r="AH72" s="66"/>
      <c r="AI72" s="66">
        <f t="shared" si="36"/>
        <v>0</v>
      </c>
      <c r="AJ72" s="65"/>
      <c r="AK72" s="65"/>
      <c r="AL72" s="65">
        <f t="shared" si="37"/>
        <v>0</v>
      </c>
      <c r="AM72" s="66"/>
      <c r="AN72" s="66"/>
      <c r="AO72" s="66">
        <f t="shared" si="43"/>
        <v>0</v>
      </c>
    </row>
    <row r="73" spans="1:41" s="58" customFormat="1" ht="18.95" customHeight="1" x14ac:dyDescent="0.3">
      <c r="A73" s="4" t="s">
        <v>25</v>
      </c>
      <c r="B73" s="16"/>
      <c r="C73" s="17">
        <f>SUM(C69:C72)</f>
        <v>2630204</v>
      </c>
      <c r="D73" s="28"/>
      <c r="E73" s="3"/>
      <c r="F73" s="17">
        <f>SUM(F69:F72)</f>
        <v>632925</v>
      </c>
      <c r="G73" s="17">
        <f t="shared" ref="G73:AO73" si="44">SUM(G69:G72)</f>
        <v>-151236</v>
      </c>
      <c r="H73" s="17">
        <f t="shared" si="44"/>
        <v>481689</v>
      </c>
      <c r="I73" s="17">
        <f t="shared" si="44"/>
        <v>279651</v>
      </c>
      <c r="J73" s="17">
        <f t="shared" si="44"/>
        <v>-181345</v>
      </c>
      <c r="K73" s="17">
        <f t="shared" si="44"/>
        <v>98306</v>
      </c>
      <c r="L73" s="17">
        <f t="shared" si="44"/>
        <v>0</v>
      </c>
      <c r="M73" s="17">
        <f t="shared" si="44"/>
        <v>0</v>
      </c>
      <c r="N73" s="17">
        <f t="shared" si="44"/>
        <v>0</v>
      </c>
      <c r="O73" s="17">
        <f t="shared" si="44"/>
        <v>537166</v>
      </c>
      <c r="P73" s="17">
        <f t="shared" si="44"/>
        <v>-408987</v>
      </c>
      <c r="Q73" s="17">
        <f t="shared" si="44"/>
        <v>128179</v>
      </c>
      <c r="R73" s="17">
        <f t="shared" si="44"/>
        <v>1716479</v>
      </c>
      <c r="S73" s="17">
        <f t="shared" si="44"/>
        <v>0</v>
      </c>
      <c r="T73" s="17">
        <f t="shared" si="44"/>
        <v>1716479</v>
      </c>
      <c r="U73" s="17">
        <f t="shared" si="44"/>
        <v>63491</v>
      </c>
      <c r="V73" s="17">
        <f t="shared" si="44"/>
        <v>-11495</v>
      </c>
      <c r="W73" s="17">
        <f t="shared" si="44"/>
        <v>51996</v>
      </c>
      <c r="X73" s="17">
        <f t="shared" si="44"/>
        <v>93604</v>
      </c>
      <c r="Y73" s="17">
        <f t="shared" si="44"/>
        <v>0</v>
      </c>
      <c r="Z73" s="17">
        <f t="shared" si="44"/>
        <v>93604</v>
      </c>
      <c r="AA73" s="17">
        <f t="shared" si="44"/>
        <v>67076</v>
      </c>
      <c r="AB73" s="17">
        <f t="shared" si="44"/>
        <v>-10770</v>
      </c>
      <c r="AC73" s="17">
        <f t="shared" si="44"/>
        <v>56306</v>
      </c>
      <c r="AD73" s="17">
        <f t="shared" si="44"/>
        <v>3645</v>
      </c>
      <c r="AE73" s="17">
        <f t="shared" si="44"/>
        <v>0</v>
      </c>
      <c r="AF73" s="17">
        <f t="shared" si="44"/>
        <v>3645</v>
      </c>
      <c r="AG73" s="17">
        <f t="shared" si="44"/>
        <v>0</v>
      </c>
      <c r="AH73" s="17">
        <f t="shared" si="44"/>
        <v>0</v>
      </c>
      <c r="AI73" s="17">
        <f t="shared" si="44"/>
        <v>0</v>
      </c>
      <c r="AJ73" s="17">
        <f t="shared" si="44"/>
        <v>0</v>
      </c>
      <c r="AK73" s="17">
        <f t="shared" si="44"/>
        <v>0</v>
      </c>
      <c r="AL73" s="17">
        <f t="shared" si="44"/>
        <v>0</v>
      </c>
      <c r="AM73" s="17">
        <f t="shared" si="44"/>
        <v>0</v>
      </c>
      <c r="AN73" s="17">
        <f t="shared" si="44"/>
        <v>0</v>
      </c>
      <c r="AO73" s="17">
        <f t="shared" si="44"/>
        <v>0</v>
      </c>
    </row>
    <row r="74" spans="1:41" s="58" customFormat="1" ht="18.95" customHeight="1" thickBot="1" x14ac:dyDescent="0.35">
      <c r="A74" s="70" t="s">
        <v>69</v>
      </c>
      <c r="B74" s="16"/>
      <c r="C74" s="17">
        <f>C66+C73</f>
        <v>3986204</v>
      </c>
      <c r="D74" s="28"/>
      <c r="E74" s="3"/>
      <c r="F74" s="17">
        <f t="shared" ref="F74:AO74" si="45">F66+F73</f>
        <v>1934425</v>
      </c>
      <c r="G74" s="17">
        <f t="shared" si="45"/>
        <v>-151236</v>
      </c>
      <c r="H74" s="17">
        <f t="shared" si="45"/>
        <v>1783189</v>
      </c>
      <c r="I74" s="17">
        <f t="shared" si="45"/>
        <v>279651</v>
      </c>
      <c r="J74" s="17">
        <f t="shared" si="45"/>
        <v>-181345</v>
      </c>
      <c r="K74" s="17">
        <f t="shared" si="45"/>
        <v>98306</v>
      </c>
      <c r="L74" s="17">
        <f t="shared" si="45"/>
        <v>0</v>
      </c>
      <c r="M74" s="17">
        <f t="shared" si="45"/>
        <v>0</v>
      </c>
      <c r="N74" s="17">
        <f t="shared" si="45"/>
        <v>0</v>
      </c>
      <c r="O74" s="17">
        <f t="shared" si="45"/>
        <v>574466</v>
      </c>
      <c r="P74" s="17">
        <f t="shared" si="45"/>
        <v>-408987</v>
      </c>
      <c r="Q74" s="17">
        <f t="shared" si="45"/>
        <v>165479</v>
      </c>
      <c r="R74" s="17">
        <f t="shared" si="45"/>
        <v>1733679</v>
      </c>
      <c r="S74" s="17">
        <f t="shared" si="45"/>
        <v>0</v>
      </c>
      <c r="T74" s="17">
        <f t="shared" si="45"/>
        <v>1733679</v>
      </c>
      <c r="U74" s="17">
        <f t="shared" si="45"/>
        <v>63491</v>
      </c>
      <c r="V74" s="17">
        <f t="shared" si="45"/>
        <v>-11495</v>
      </c>
      <c r="W74" s="17">
        <f t="shared" si="45"/>
        <v>51996</v>
      </c>
      <c r="X74" s="17">
        <f t="shared" si="45"/>
        <v>93604</v>
      </c>
      <c r="Y74" s="17">
        <f t="shared" si="45"/>
        <v>0</v>
      </c>
      <c r="Z74" s="17">
        <f t="shared" si="45"/>
        <v>93604</v>
      </c>
      <c r="AA74" s="17">
        <f t="shared" si="45"/>
        <v>67076</v>
      </c>
      <c r="AB74" s="17">
        <f t="shared" si="45"/>
        <v>-10770</v>
      </c>
      <c r="AC74" s="17">
        <f t="shared" si="45"/>
        <v>56306</v>
      </c>
      <c r="AD74" s="17">
        <f t="shared" si="45"/>
        <v>3645</v>
      </c>
      <c r="AE74" s="17">
        <f t="shared" si="45"/>
        <v>0</v>
      </c>
      <c r="AF74" s="17">
        <f t="shared" si="45"/>
        <v>3645</v>
      </c>
      <c r="AG74" s="17">
        <f t="shared" si="45"/>
        <v>0</v>
      </c>
      <c r="AH74" s="17">
        <f t="shared" si="45"/>
        <v>0</v>
      </c>
      <c r="AI74" s="17">
        <f t="shared" si="45"/>
        <v>0</v>
      </c>
      <c r="AJ74" s="17">
        <f t="shared" si="45"/>
        <v>0</v>
      </c>
      <c r="AK74" s="17">
        <f t="shared" si="45"/>
        <v>0</v>
      </c>
      <c r="AL74" s="17">
        <f t="shared" si="45"/>
        <v>0</v>
      </c>
      <c r="AM74" s="17">
        <f t="shared" si="45"/>
        <v>0</v>
      </c>
      <c r="AN74" s="17">
        <f t="shared" si="45"/>
        <v>0</v>
      </c>
      <c r="AO74" s="17">
        <f t="shared" si="45"/>
        <v>0</v>
      </c>
    </row>
    <row r="75" spans="1:41" s="58" customFormat="1" ht="18" thickTop="1" x14ac:dyDescent="0.3">
      <c r="A75" s="15" t="s">
        <v>1</v>
      </c>
      <c r="B75" s="16"/>
      <c r="C75" s="46"/>
      <c r="D75" s="24"/>
      <c r="E75" s="3"/>
      <c r="F75" s="65"/>
      <c r="G75" s="65"/>
      <c r="H75" s="65"/>
      <c r="I75" s="66"/>
      <c r="J75" s="66"/>
      <c r="K75" s="66"/>
      <c r="L75" s="65"/>
      <c r="M75" s="65"/>
      <c r="N75" s="65"/>
      <c r="O75" s="66"/>
      <c r="P75" s="66"/>
      <c r="Q75" s="66"/>
      <c r="R75" s="65"/>
      <c r="S75" s="65"/>
      <c r="T75" s="65"/>
      <c r="U75" s="66"/>
      <c r="V75" s="66"/>
      <c r="W75" s="66"/>
      <c r="X75" s="65"/>
      <c r="Y75" s="65"/>
      <c r="Z75" s="65"/>
      <c r="AA75" s="66"/>
      <c r="AB75" s="66"/>
      <c r="AC75" s="66"/>
      <c r="AD75" s="65"/>
      <c r="AE75" s="65"/>
      <c r="AF75" s="65"/>
      <c r="AG75" s="66"/>
      <c r="AH75" s="66"/>
      <c r="AI75" s="66"/>
      <c r="AJ75" s="65"/>
      <c r="AK75" s="65"/>
      <c r="AL75" s="65"/>
      <c r="AM75" s="66"/>
      <c r="AN75" s="66"/>
      <c r="AO75" s="66"/>
    </row>
    <row r="76" spans="1:41" s="58" customFormat="1" ht="17.25" x14ac:dyDescent="0.3">
      <c r="A76" s="4" t="s">
        <v>26</v>
      </c>
      <c r="B76" s="16"/>
      <c r="C76" s="19"/>
      <c r="D76" s="24"/>
      <c r="E76" s="3"/>
      <c r="F76" s="65"/>
      <c r="G76" s="65"/>
      <c r="H76" s="65"/>
      <c r="I76" s="66"/>
      <c r="J76" s="66"/>
      <c r="K76" s="66"/>
      <c r="L76" s="65"/>
      <c r="M76" s="65"/>
      <c r="N76" s="65"/>
      <c r="O76" s="66"/>
      <c r="P76" s="66"/>
      <c r="Q76" s="66"/>
      <c r="R76" s="65"/>
      <c r="S76" s="65"/>
      <c r="T76" s="65"/>
      <c r="U76" s="66"/>
      <c r="V76" s="66"/>
      <c r="W76" s="66"/>
      <c r="X76" s="65"/>
      <c r="Y76" s="65"/>
      <c r="Z76" s="65"/>
      <c r="AA76" s="66"/>
      <c r="AB76" s="66"/>
      <c r="AC76" s="66"/>
      <c r="AD76" s="65"/>
      <c r="AE76" s="65"/>
      <c r="AF76" s="65"/>
      <c r="AG76" s="66"/>
      <c r="AH76" s="66"/>
      <c r="AI76" s="66"/>
      <c r="AJ76" s="65"/>
      <c r="AK76" s="65"/>
      <c r="AL76" s="65"/>
      <c r="AM76" s="66"/>
      <c r="AN76" s="66"/>
      <c r="AO76" s="66"/>
    </row>
    <row r="77" spans="1:41" s="58" customFormat="1" ht="6.95" customHeight="1" x14ac:dyDescent="0.3">
      <c r="A77" s="4"/>
      <c r="B77" s="16"/>
      <c r="C77" s="19"/>
      <c r="D77" s="24"/>
      <c r="E77" s="3"/>
      <c r="F77" s="65"/>
      <c r="G77" s="65"/>
      <c r="H77" s="65"/>
      <c r="I77" s="66"/>
      <c r="J77" s="66"/>
      <c r="K77" s="66"/>
      <c r="L77" s="65"/>
      <c r="M77" s="65"/>
      <c r="N77" s="65"/>
      <c r="O77" s="66"/>
      <c r="P77" s="66"/>
      <c r="Q77" s="66"/>
      <c r="R77" s="65"/>
      <c r="S77" s="65"/>
      <c r="T77" s="65"/>
      <c r="U77" s="66"/>
      <c r="V77" s="66"/>
      <c r="W77" s="66"/>
      <c r="X77" s="65"/>
      <c r="Y77" s="65"/>
      <c r="Z77" s="65"/>
      <c r="AA77" s="66"/>
      <c r="AB77" s="66"/>
      <c r="AC77" s="66"/>
      <c r="AD77" s="65"/>
      <c r="AE77" s="65"/>
      <c r="AF77" s="65"/>
      <c r="AG77" s="66"/>
      <c r="AH77" s="66"/>
      <c r="AI77" s="66"/>
      <c r="AJ77" s="65"/>
      <c r="AK77" s="65"/>
      <c r="AL77" s="65"/>
      <c r="AM77" s="66"/>
      <c r="AN77" s="66"/>
      <c r="AO77" s="66"/>
    </row>
    <row r="78" spans="1:41" s="58" customFormat="1" ht="17.25" x14ac:dyDescent="0.3">
      <c r="A78" s="4" t="s">
        <v>27</v>
      </c>
      <c r="B78" s="25"/>
      <c r="C78" s="47"/>
      <c r="D78" s="48"/>
      <c r="E78" s="3"/>
      <c r="F78" s="65"/>
      <c r="G78" s="65"/>
      <c r="H78" s="65"/>
      <c r="I78" s="66"/>
      <c r="J78" s="66"/>
      <c r="K78" s="66"/>
      <c r="L78" s="65"/>
      <c r="M78" s="65"/>
      <c r="N78" s="65"/>
      <c r="O78" s="66"/>
      <c r="P78" s="66"/>
      <c r="Q78" s="66"/>
      <c r="R78" s="65"/>
      <c r="S78" s="65"/>
      <c r="T78" s="65"/>
      <c r="U78" s="66"/>
      <c r="V78" s="66"/>
      <c r="W78" s="66"/>
      <c r="X78" s="65"/>
      <c r="Y78" s="65"/>
      <c r="Z78" s="65"/>
      <c r="AA78" s="66"/>
      <c r="AB78" s="66"/>
      <c r="AC78" s="66"/>
      <c r="AD78" s="65"/>
      <c r="AE78" s="65"/>
      <c r="AF78" s="65"/>
      <c r="AG78" s="66"/>
      <c r="AH78" s="66"/>
      <c r="AI78" s="66"/>
      <c r="AJ78" s="65"/>
      <c r="AK78" s="65"/>
      <c r="AL78" s="65"/>
      <c r="AM78" s="66"/>
      <c r="AN78" s="66"/>
      <c r="AO78" s="66"/>
    </row>
    <row r="79" spans="1:41" s="58" customFormat="1" ht="17.25" hidden="1" x14ac:dyDescent="0.3">
      <c r="A79" s="4" t="s">
        <v>28</v>
      </c>
      <c r="B79" s="16"/>
      <c r="C79" s="19"/>
      <c r="D79" s="24"/>
      <c r="E79" s="3"/>
      <c r="F79" s="65"/>
      <c r="G79" s="65"/>
      <c r="H79" s="65"/>
      <c r="I79" s="66"/>
      <c r="J79" s="66"/>
      <c r="K79" s="66"/>
      <c r="L79" s="65"/>
      <c r="M79" s="65"/>
      <c r="N79" s="65"/>
      <c r="O79" s="66"/>
      <c r="P79" s="66"/>
      <c r="Q79" s="66"/>
      <c r="R79" s="65"/>
      <c r="S79" s="65"/>
      <c r="T79" s="65"/>
      <c r="U79" s="66"/>
      <c r="V79" s="66"/>
      <c r="W79" s="66"/>
      <c r="X79" s="65"/>
      <c r="Y79" s="65"/>
      <c r="Z79" s="65"/>
      <c r="AA79" s="66"/>
      <c r="AB79" s="66"/>
      <c r="AC79" s="66"/>
      <c r="AD79" s="65"/>
      <c r="AE79" s="65"/>
      <c r="AF79" s="65"/>
      <c r="AG79" s="66"/>
      <c r="AH79" s="66"/>
      <c r="AI79" s="66"/>
      <c r="AJ79" s="65"/>
      <c r="AK79" s="65"/>
      <c r="AL79" s="65"/>
      <c r="AM79" s="66"/>
      <c r="AN79" s="66"/>
      <c r="AO79" s="66"/>
    </row>
    <row r="80" spans="1:41" s="58" customFormat="1" ht="17.25" hidden="1" x14ac:dyDescent="0.3">
      <c r="A80" s="15" t="s">
        <v>29</v>
      </c>
      <c r="B80" s="16"/>
      <c r="C80" s="19">
        <v>0</v>
      </c>
      <c r="D80" s="24"/>
      <c r="E80" s="3"/>
      <c r="F80" s="65"/>
      <c r="G80" s="65"/>
      <c r="H80" s="65"/>
      <c r="I80" s="66"/>
      <c r="J80" s="66"/>
      <c r="K80" s="66"/>
      <c r="L80" s="65"/>
      <c r="M80" s="65"/>
      <c r="N80" s="65"/>
      <c r="O80" s="66"/>
      <c r="P80" s="66"/>
      <c r="Q80" s="66"/>
      <c r="R80" s="65"/>
      <c r="S80" s="65"/>
      <c r="T80" s="65"/>
      <c r="U80" s="66"/>
      <c r="V80" s="66"/>
      <c r="W80" s="66"/>
      <c r="X80" s="65"/>
      <c r="Y80" s="65"/>
      <c r="Z80" s="65"/>
      <c r="AA80" s="66"/>
      <c r="AB80" s="66"/>
      <c r="AC80" s="66"/>
      <c r="AD80" s="65"/>
      <c r="AE80" s="65"/>
      <c r="AF80" s="65"/>
      <c r="AG80" s="66"/>
      <c r="AH80" s="66"/>
      <c r="AI80" s="66"/>
      <c r="AJ80" s="65"/>
      <c r="AK80" s="65"/>
      <c r="AL80" s="65"/>
      <c r="AM80" s="66"/>
      <c r="AN80" s="66"/>
      <c r="AO80" s="66"/>
    </row>
    <row r="81" spans="1:41" s="58" customFormat="1" ht="17.25" hidden="1" x14ac:dyDescent="0.3">
      <c r="A81" s="4" t="s">
        <v>30</v>
      </c>
      <c r="B81" s="16"/>
      <c r="C81" s="18">
        <f>C80</f>
        <v>0</v>
      </c>
      <c r="D81" s="24"/>
      <c r="E81" s="3"/>
      <c r="F81" s="65"/>
      <c r="G81" s="65"/>
      <c r="H81" s="65"/>
      <c r="I81" s="66"/>
      <c r="J81" s="66"/>
      <c r="K81" s="66"/>
      <c r="L81" s="65"/>
      <c r="M81" s="65"/>
      <c r="N81" s="65"/>
      <c r="O81" s="66"/>
      <c r="P81" s="66"/>
      <c r="Q81" s="66"/>
      <c r="R81" s="65"/>
      <c r="S81" s="65"/>
      <c r="T81" s="65"/>
      <c r="U81" s="66"/>
      <c r="V81" s="66"/>
      <c r="W81" s="66"/>
      <c r="X81" s="65"/>
      <c r="Y81" s="65"/>
      <c r="Z81" s="65"/>
      <c r="AA81" s="66"/>
      <c r="AB81" s="66"/>
      <c r="AC81" s="66"/>
      <c r="AD81" s="65"/>
      <c r="AE81" s="65"/>
      <c r="AF81" s="65"/>
      <c r="AG81" s="66"/>
      <c r="AH81" s="66"/>
      <c r="AI81" s="66"/>
      <c r="AJ81" s="65"/>
      <c r="AK81" s="65"/>
      <c r="AL81" s="65"/>
      <c r="AM81" s="66"/>
      <c r="AN81" s="66"/>
      <c r="AO81" s="66"/>
    </row>
    <row r="82" spans="1:41" s="58" customFormat="1" ht="9.9499999999999993" customHeight="1" x14ac:dyDescent="0.3">
      <c r="A82" s="15"/>
      <c r="B82" s="16"/>
      <c r="C82" s="19"/>
      <c r="D82" s="24"/>
      <c r="E82" s="3"/>
      <c r="F82" s="65"/>
      <c r="G82" s="65"/>
      <c r="H82" s="65"/>
      <c r="I82" s="66"/>
      <c r="J82" s="66"/>
      <c r="K82" s="66"/>
      <c r="L82" s="65"/>
      <c r="M82" s="65"/>
      <c r="N82" s="65"/>
      <c r="O82" s="66"/>
      <c r="P82" s="66"/>
      <c r="Q82" s="66"/>
      <c r="R82" s="65"/>
      <c r="S82" s="65"/>
      <c r="T82" s="65"/>
      <c r="U82" s="66"/>
      <c r="V82" s="66"/>
      <c r="W82" s="66"/>
      <c r="X82" s="65"/>
      <c r="Y82" s="65"/>
      <c r="Z82" s="65"/>
      <c r="AA82" s="66"/>
      <c r="AB82" s="66"/>
      <c r="AC82" s="66"/>
      <c r="AD82" s="65"/>
      <c r="AE82" s="65"/>
      <c r="AF82" s="65"/>
      <c r="AG82" s="66"/>
      <c r="AH82" s="66"/>
      <c r="AI82" s="66"/>
      <c r="AJ82" s="65"/>
      <c r="AK82" s="65"/>
      <c r="AL82" s="65"/>
      <c r="AM82" s="66"/>
      <c r="AN82" s="66"/>
      <c r="AO82" s="66"/>
    </row>
    <row r="83" spans="1:41" s="58" customFormat="1" ht="17.25" x14ac:dyDescent="0.3">
      <c r="A83" s="15" t="s">
        <v>31</v>
      </c>
      <c r="B83" s="16"/>
      <c r="C83" s="14">
        <f>H83+K83+N83+Q83+T83+W83+Z83+AC83+AF83+AI83+AL83+AO83</f>
        <v>3065755</v>
      </c>
      <c r="D83" s="24"/>
      <c r="E83" s="3"/>
      <c r="F83" s="132">
        <v>1127961</v>
      </c>
      <c r="G83" s="65"/>
      <c r="H83" s="65">
        <f t="shared" si="27"/>
        <v>1127961</v>
      </c>
      <c r="I83" s="132">
        <v>227712</v>
      </c>
      <c r="J83" s="66"/>
      <c r="K83" s="66">
        <f t="shared" si="28"/>
        <v>227712</v>
      </c>
      <c r="L83" s="65">
        <v>0</v>
      </c>
      <c r="M83" s="65"/>
      <c r="N83" s="65">
        <f t="shared" si="29"/>
        <v>0</v>
      </c>
      <c r="O83" s="132">
        <v>523230</v>
      </c>
      <c r="P83" s="66"/>
      <c r="Q83" s="66">
        <f t="shared" si="30"/>
        <v>523230</v>
      </c>
      <c r="R83" s="132">
        <v>961036</v>
      </c>
      <c r="S83" s="65"/>
      <c r="T83" s="65">
        <f t="shared" si="31"/>
        <v>961036</v>
      </c>
      <c r="U83" s="132">
        <v>63491</v>
      </c>
      <c r="V83" s="66"/>
      <c r="W83" s="66">
        <f t="shared" si="32"/>
        <v>63491</v>
      </c>
      <c r="X83" s="132">
        <v>91604</v>
      </c>
      <c r="Y83" s="65"/>
      <c r="Z83" s="65">
        <f t="shared" si="33"/>
        <v>91604</v>
      </c>
      <c r="AA83" s="132">
        <v>67076</v>
      </c>
      <c r="AB83" s="66"/>
      <c r="AC83" s="66">
        <f t="shared" si="34"/>
        <v>67076</v>
      </c>
      <c r="AD83" s="65">
        <v>3645</v>
      </c>
      <c r="AE83" s="65"/>
      <c r="AF83" s="65">
        <f t="shared" si="35"/>
        <v>3645</v>
      </c>
      <c r="AG83" s="66"/>
      <c r="AH83" s="66"/>
      <c r="AI83" s="66">
        <f t="shared" si="36"/>
        <v>0</v>
      </c>
      <c r="AJ83" s="65"/>
      <c r="AK83" s="65"/>
      <c r="AL83" s="65">
        <f t="shared" si="37"/>
        <v>0</v>
      </c>
      <c r="AM83" s="66"/>
      <c r="AN83" s="66"/>
      <c r="AO83" s="66">
        <f t="shared" ref="AO83" si="46">AM83+AN83</f>
        <v>0</v>
      </c>
    </row>
    <row r="84" spans="1:41" s="58" customFormat="1" ht="18.95" customHeight="1" x14ac:dyDescent="0.3">
      <c r="A84" s="4" t="s">
        <v>32</v>
      </c>
      <c r="B84" s="16"/>
      <c r="C84" s="17">
        <f>C83</f>
        <v>3065755</v>
      </c>
      <c r="D84" s="28"/>
      <c r="E84" s="3"/>
      <c r="F84" s="17">
        <f>F83</f>
        <v>1127961</v>
      </c>
      <c r="G84" s="17">
        <f t="shared" ref="G84:AO84" si="47">G83</f>
        <v>0</v>
      </c>
      <c r="H84" s="17">
        <f t="shared" si="47"/>
        <v>1127961</v>
      </c>
      <c r="I84" s="17">
        <f t="shared" si="47"/>
        <v>227712</v>
      </c>
      <c r="J84" s="17">
        <f t="shared" si="47"/>
        <v>0</v>
      </c>
      <c r="K84" s="17">
        <f t="shared" si="47"/>
        <v>227712</v>
      </c>
      <c r="L84" s="17">
        <f t="shared" si="47"/>
        <v>0</v>
      </c>
      <c r="M84" s="17">
        <f t="shared" si="47"/>
        <v>0</v>
      </c>
      <c r="N84" s="17">
        <f t="shared" si="47"/>
        <v>0</v>
      </c>
      <c r="O84" s="17">
        <f t="shared" si="47"/>
        <v>523230</v>
      </c>
      <c r="P84" s="17">
        <f t="shared" si="47"/>
        <v>0</v>
      </c>
      <c r="Q84" s="17">
        <f t="shared" si="47"/>
        <v>523230</v>
      </c>
      <c r="R84" s="17">
        <f t="shared" si="47"/>
        <v>961036</v>
      </c>
      <c r="S84" s="17">
        <f t="shared" si="47"/>
        <v>0</v>
      </c>
      <c r="T84" s="17">
        <f t="shared" si="47"/>
        <v>961036</v>
      </c>
      <c r="U84" s="17">
        <f t="shared" si="47"/>
        <v>63491</v>
      </c>
      <c r="V84" s="17">
        <f t="shared" si="47"/>
        <v>0</v>
      </c>
      <c r="W84" s="17">
        <f t="shared" si="47"/>
        <v>63491</v>
      </c>
      <c r="X84" s="17">
        <f t="shared" si="47"/>
        <v>91604</v>
      </c>
      <c r="Y84" s="17">
        <f t="shared" si="47"/>
        <v>0</v>
      </c>
      <c r="Z84" s="17">
        <f t="shared" si="47"/>
        <v>91604</v>
      </c>
      <c r="AA84" s="17">
        <f t="shared" si="47"/>
        <v>67076</v>
      </c>
      <c r="AB84" s="17">
        <f t="shared" si="47"/>
        <v>0</v>
      </c>
      <c r="AC84" s="17">
        <f t="shared" si="47"/>
        <v>67076</v>
      </c>
      <c r="AD84" s="17">
        <f t="shared" si="47"/>
        <v>3645</v>
      </c>
      <c r="AE84" s="17">
        <f t="shared" si="47"/>
        <v>0</v>
      </c>
      <c r="AF84" s="17">
        <f t="shared" si="47"/>
        <v>3645</v>
      </c>
      <c r="AG84" s="17">
        <f t="shared" si="47"/>
        <v>0</v>
      </c>
      <c r="AH84" s="17">
        <f t="shared" si="47"/>
        <v>0</v>
      </c>
      <c r="AI84" s="17">
        <f t="shared" si="47"/>
        <v>0</v>
      </c>
      <c r="AJ84" s="17">
        <f t="shared" si="47"/>
        <v>0</v>
      </c>
      <c r="AK84" s="17">
        <f t="shared" si="47"/>
        <v>0</v>
      </c>
      <c r="AL84" s="17">
        <f t="shared" si="47"/>
        <v>0</v>
      </c>
      <c r="AM84" s="17">
        <f t="shared" si="47"/>
        <v>0</v>
      </c>
      <c r="AN84" s="17">
        <f t="shared" si="47"/>
        <v>0</v>
      </c>
      <c r="AO84" s="17">
        <f t="shared" si="47"/>
        <v>0</v>
      </c>
    </row>
    <row r="85" spans="1:41" s="58" customFormat="1" ht="9.9499999999999993" customHeight="1" x14ac:dyDescent="0.3">
      <c r="A85" s="4"/>
      <c r="B85" s="16"/>
      <c r="C85" s="17"/>
      <c r="D85" s="28"/>
      <c r="E85" s="3"/>
      <c r="F85" s="65"/>
      <c r="G85" s="65"/>
      <c r="H85" s="65"/>
      <c r="I85" s="66"/>
      <c r="J85" s="66"/>
      <c r="K85" s="66"/>
      <c r="L85" s="65"/>
      <c r="M85" s="65"/>
      <c r="N85" s="65"/>
      <c r="O85" s="66"/>
      <c r="P85" s="66"/>
      <c r="Q85" s="66"/>
      <c r="R85" s="65"/>
      <c r="S85" s="65"/>
      <c r="T85" s="65"/>
      <c r="U85" s="66"/>
      <c r="V85" s="66"/>
      <c r="W85" s="66"/>
      <c r="X85" s="65"/>
      <c r="Y85" s="65"/>
      <c r="Z85" s="65"/>
      <c r="AA85" s="66"/>
      <c r="AB85" s="66"/>
      <c r="AC85" s="66"/>
      <c r="AD85" s="65"/>
      <c r="AE85" s="65"/>
      <c r="AF85" s="65"/>
      <c r="AG85" s="66"/>
      <c r="AH85" s="66"/>
      <c r="AI85" s="66"/>
      <c r="AJ85" s="65"/>
      <c r="AK85" s="65"/>
      <c r="AL85" s="65"/>
      <c r="AM85" s="66"/>
      <c r="AN85" s="66"/>
      <c r="AO85" s="66"/>
    </row>
    <row r="86" spans="1:41" s="58" customFormat="1" ht="17.25" x14ac:dyDescent="0.3">
      <c r="A86" s="4" t="s">
        <v>33</v>
      </c>
      <c r="B86" s="16"/>
      <c r="C86" s="28"/>
      <c r="D86" s="28"/>
      <c r="E86" s="3"/>
      <c r="F86" s="65"/>
      <c r="G86" s="65"/>
      <c r="H86" s="65">
        <f t="shared" si="27"/>
        <v>0</v>
      </c>
      <c r="I86" s="66"/>
      <c r="J86" s="66"/>
      <c r="K86" s="66">
        <f t="shared" si="28"/>
        <v>0</v>
      </c>
      <c r="L86" s="65"/>
      <c r="M86" s="65"/>
      <c r="N86" s="65">
        <f t="shared" si="29"/>
        <v>0</v>
      </c>
      <c r="O86" s="66"/>
      <c r="P86" s="66"/>
      <c r="Q86" s="66">
        <f t="shared" si="30"/>
        <v>0</v>
      </c>
      <c r="R86" s="65"/>
      <c r="S86" s="65"/>
      <c r="T86" s="65">
        <f t="shared" si="31"/>
        <v>0</v>
      </c>
      <c r="U86" s="66"/>
      <c r="V86" s="66"/>
      <c r="W86" s="66">
        <f t="shared" si="32"/>
        <v>0</v>
      </c>
      <c r="X86" s="65"/>
      <c r="Y86" s="65"/>
      <c r="Z86" s="65">
        <f t="shared" si="33"/>
        <v>0</v>
      </c>
      <c r="AA86" s="66"/>
      <c r="AB86" s="66"/>
      <c r="AC86" s="66">
        <f t="shared" si="34"/>
        <v>0</v>
      </c>
      <c r="AD86" s="65"/>
      <c r="AE86" s="65"/>
      <c r="AF86" s="65">
        <f t="shared" si="35"/>
        <v>0</v>
      </c>
      <c r="AG86" s="66"/>
      <c r="AH86" s="66"/>
      <c r="AI86" s="66">
        <f t="shared" si="36"/>
        <v>0</v>
      </c>
      <c r="AJ86" s="65"/>
      <c r="AK86" s="65"/>
      <c r="AL86" s="65">
        <f t="shared" si="37"/>
        <v>0</v>
      </c>
      <c r="AM86" s="66"/>
      <c r="AN86" s="66"/>
      <c r="AO86" s="66">
        <f t="shared" ref="AO86:AO88" si="48">AM86+AN86</f>
        <v>0</v>
      </c>
    </row>
    <row r="87" spans="1:41" s="58" customFormat="1" ht="17.25" x14ac:dyDescent="0.3">
      <c r="A87" s="70" t="s">
        <v>78</v>
      </c>
      <c r="B87" s="16"/>
      <c r="C87" s="21"/>
      <c r="D87" s="28"/>
      <c r="E87" s="3"/>
      <c r="F87" s="65"/>
      <c r="G87" s="65"/>
      <c r="H87" s="65">
        <f t="shared" si="27"/>
        <v>0</v>
      </c>
      <c r="I87" s="66"/>
      <c r="J87" s="66"/>
      <c r="K87" s="66">
        <f t="shared" si="28"/>
        <v>0</v>
      </c>
      <c r="L87" s="65"/>
      <c r="M87" s="65"/>
      <c r="N87" s="65">
        <f t="shared" si="29"/>
        <v>0</v>
      </c>
      <c r="O87" s="66"/>
      <c r="P87" s="66"/>
      <c r="Q87" s="66">
        <f t="shared" si="30"/>
        <v>0</v>
      </c>
      <c r="R87" s="65"/>
      <c r="S87" s="65"/>
      <c r="T87" s="65">
        <f t="shared" si="31"/>
        <v>0</v>
      </c>
      <c r="U87" s="66"/>
      <c r="V87" s="66"/>
      <c r="W87" s="66">
        <f t="shared" si="32"/>
        <v>0</v>
      </c>
      <c r="X87" s="65"/>
      <c r="Y87" s="65"/>
      <c r="Z87" s="65">
        <f t="shared" si="33"/>
        <v>0</v>
      </c>
      <c r="AA87" s="66"/>
      <c r="AB87" s="66"/>
      <c r="AC87" s="66">
        <f t="shared" si="34"/>
        <v>0</v>
      </c>
      <c r="AD87" s="65"/>
      <c r="AE87" s="65"/>
      <c r="AF87" s="65">
        <f t="shared" si="35"/>
        <v>0</v>
      </c>
      <c r="AG87" s="66"/>
      <c r="AH87" s="66"/>
      <c r="AI87" s="66">
        <f t="shared" si="36"/>
        <v>0</v>
      </c>
      <c r="AJ87" s="65"/>
      <c r="AK87" s="65"/>
      <c r="AL87" s="65">
        <f t="shared" si="37"/>
        <v>0</v>
      </c>
      <c r="AM87" s="66"/>
      <c r="AN87" s="66"/>
      <c r="AO87" s="66">
        <f t="shared" si="48"/>
        <v>0</v>
      </c>
    </row>
    <row r="88" spans="1:41" s="58" customFormat="1" ht="17.25" x14ac:dyDescent="0.3">
      <c r="A88" s="15" t="s">
        <v>34</v>
      </c>
      <c r="B88" s="16"/>
      <c r="C88" s="14">
        <f>H88+K88+N88+Q88+T88+W88+Z88+AC88+AF88+AI88+AL88+AO88</f>
        <v>406901</v>
      </c>
      <c r="D88" s="28"/>
      <c r="E88" s="3"/>
      <c r="F88" s="132">
        <v>406901</v>
      </c>
      <c r="G88" s="65"/>
      <c r="H88" s="65">
        <f t="shared" si="27"/>
        <v>406901</v>
      </c>
      <c r="I88" s="132">
        <v>0</v>
      </c>
      <c r="J88" s="66"/>
      <c r="K88" s="66">
        <f t="shared" si="28"/>
        <v>0</v>
      </c>
      <c r="L88" s="65">
        <v>0</v>
      </c>
      <c r="M88" s="65"/>
      <c r="N88" s="65">
        <f t="shared" si="29"/>
        <v>0</v>
      </c>
      <c r="O88" s="132">
        <v>0</v>
      </c>
      <c r="P88" s="66"/>
      <c r="Q88" s="66">
        <f t="shared" si="30"/>
        <v>0</v>
      </c>
      <c r="R88" s="132">
        <v>0</v>
      </c>
      <c r="S88" s="65"/>
      <c r="T88" s="65">
        <f t="shared" si="31"/>
        <v>0</v>
      </c>
      <c r="U88" s="132">
        <v>0</v>
      </c>
      <c r="V88" s="66"/>
      <c r="W88" s="66">
        <f t="shared" si="32"/>
        <v>0</v>
      </c>
      <c r="X88" s="65"/>
      <c r="Y88" s="65"/>
      <c r="Z88" s="65">
        <f t="shared" si="33"/>
        <v>0</v>
      </c>
      <c r="AA88" s="66"/>
      <c r="AB88" s="66"/>
      <c r="AC88" s="66">
        <f t="shared" si="34"/>
        <v>0</v>
      </c>
      <c r="AD88" s="65"/>
      <c r="AE88" s="65"/>
      <c r="AF88" s="65">
        <f t="shared" si="35"/>
        <v>0</v>
      </c>
      <c r="AG88" s="66"/>
      <c r="AH88" s="66"/>
      <c r="AI88" s="66">
        <f t="shared" si="36"/>
        <v>0</v>
      </c>
      <c r="AJ88" s="65"/>
      <c r="AK88" s="65"/>
      <c r="AL88" s="65">
        <f t="shared" si="37"/>
        <v>0</v>
      </c>
      <c r="AM88" s="66"/>
      <c r="AN88" s="66"/>
      <c r="AO88" s="66">
        <f t="shared" si="48"/>
        <v>0</v>
      </c>
    </row>
    <row r="89" spans="1:41" s="58" customFormat="1" ht="17.25" x14ac:dyDescent="0.3">
      <c r="A89" s="71" t="s">
        <v>77</v>
      </c>
      <c r="B89" s="16"/>
      <c r="C89" s="17">
        <f>C88</f>
        <v>406901</v>
      </c>
      <c r="D89" s="28"/>
      <c r="E89" s="3"/>
      <c r="F89" s="17">
        <f>F88</f>
        <v>406901</v>
      </c>
      <c r="G89" s="17">
        <f t="shared" ref="G89:AO89" si="49">G88</f>
        <v>0</v>
      </c>
      <c r="H89" s="17">
        <f t="shared" si="49"/>
        <v>406901</v>
      </c>
      <c r="I89" s="17">
        <f t="shared" si="49"/>
        <v>0</v>
      </c>
      <c r="J89" s="17">
        <f t="shared" si="49"/>
        <v>0</v>
      </c>
      <c r="K89" s="17">
        <f t="shared" si="49"/>
        <v>0</v>
      </c>
      <c r="L89" s="17">
        <f t="shared" si="49"/>
        <v>0</v>
      </c>
      <c r="M89" s="17">
        <f t="shared" si="49"/>
        <v>0</v>
      </c>
      <c r="N89" s="17">
        <f t="shared" si="49"/>
        <v>0</v>
      </c>
      <c r="O89" s="17">
        <f t="shared" si="49"/>
        <v>0</v>
      </c>
      <c r="P89" s="17">
        <f t="shared" si="49"/>
        <v>0</v>
      </c>
      <c r="Q89" s="17">
        <f t="shared" si="49"/>
        <v>0</v>
      </c>
      <c r="R89" s="17">
        <f t="shared" si="49"/>
        <v>0</v>
      </c>
      <c r="S89" s="17">
        <f t="shared" si="49"/>
        <v>0</v>
      </c>
      <c r="T89" s="17">
        <f t="shared" si="49"/>
        <v>0</v>
      </c>
      <c r="U89" s="17">
        <f t="shared" si="49"/>
        <v>0</v>
      </c>
      <c r="V89" s="17">
        <f t="shared" si="49"/>
        <v>0</v>
      </c>
      <c r="W89" s="17">
        <f t="shared" si="49"/>
        <v>0</v>
      </c>
      <c r="X89" s="17">
        <f t="shared" si="49"/>
        <v>0</v>
      </c>
      <c r="Y89" s="17">
        <f t="shared" si="49"/>
        <v>0</v>
      </c>
      <c r="Z89" s="17">
        <f t="shared" si="49"/>
        <v>0</v>
      </c>
      <c r="AA89" s="17">
        <f t="shared" si="49"/>
        <v>0</v>
      </c>
      <c r="AB89" s="17">
        <f t="shared" si="49"/>
        <v>0</v>
      </c>
      <c r="AC89" s="17">
        <f t="shared" si="49"/>
        <v>0</v>
      </c>
      <c r="AD89" s="17">
        <f t="shared" si="49"/>
        <v>0</v>
      </c>
      <c r="AE89" s="17">
        <f t="shared" si="49"/>
        <v>0</v>
      </c>
      <c r="AF89" s="17">
        <f t="shared" si="49"/>
        <v>0</v>
      </c>
      <c r="AG89" s="17">
        <f t="shared" si="49"/>
        <v>0</v>
      </c>
      <c r="AH89" s="17">
        <f t="shared" si="49"/>
        <v>0</v>
      </c>
      <c r="AI89" s="17">
        <f t="shared" si="49"/>
        <v>0</v>
      </c>
      <c r="AJ89" s="17">
        <f t="shared" si="49"/>
        <v>0</v>
      </c>
      <c r="AK89" s="17">
        <f t="shared" si="49"/>
        <v>0</v>
      </c>
      <c r="AL89" s="17">
        <f t="shared" si="49"/>
        <v>0</v>
      </c>
      <c r="AM89" s="17">
        <f t="shared" si="49"/>
        <v>0</v>
      </c>
      <c r="AN89" s="17">
        <f t="shared" si="49"/>
        <v>0</v>
      </c>
      <c r="AO89" s="17">
        <f t="shared" si="49"/>
        <v>0</v>
      </c>
    </row>
    <row r="90" spans="1:41" s="58" customFormat="1" ht="11.1" customHeight="1" x14ac:dyDescent="0.3">
      <c r="A90" s="15"/>
      <c r="B90" s="16"/>
      <c r="C90" s="24"/>
      <c r="D90" s="24"/>
      <c r="E90" s="3"/>
      <c r="F90" s="65"/>
      <c r="G90" s="65"/>
      <c r="H90" s="65"/>
      <c r="I90" s="66"/>
      <c r="J90" s="66"/>
      <c r="K90" s="66"/>
      <c r="L90" s="65"/>
      <c r="M90" s="65"/>
      <c r="N90" s="65"/>
      <c r="O90" s="66"/>
      <c r="P90" s="66"/>
      <c r="Q90" s="66"/>
      <c r="R90" s="65"/>
      <c r="S90" s="65"/>
      <c r="T90" s="65"/>
      <c r="U90" s="66"/>
      <c r="V90" s="66"/>
      <c r="W90" s="66"/>
      <c r="X90" s="65"/>
      <c r="Y90" s="65"/>
      <c r="Z90" s="65"/>
      <c r="AA90" s="66"/>
      <c r="AB90" s="66"/>
      <c r="AC90" s="66"/>
      <c r="AD90" s="65"/>
      <c r="AE90" s="65"/>
      <c r="AF90" s="65"/>
      <c r="AG90" s="66"/>
      <c r="AH90" s="66"/>
      <c r="AI90" s="66"/>
      <c r="AJ90" s="65"/>
      <c r="AK90" s="65"/>
      <c r="AL90" s="65"/>
      <c r="AM90" s="66"/>
      <c r="AN90" s="66"/>
      <c r="AO90" s="66"/>
    </row>
    <row r="91" spans="1:41" s="58" customFormat="1" ht="17.25" x14ac:dyDescent="0.3">
      <c r="A91" s="70" t="s">
        <v>79</v>
      </c>
      <c r="B91" s="16"/>
      <c r="C91" s="19"/>
      <c r="D91" s="24"/>
      <c r="E91" s="3"/>
      <c r="F91" s="65"/>
      <c r="G91" s="65"/>
      <c r="H91" s="65"/>
      <c r="I91" s="66"/>
      <c r="J91" s="66"/>
      <c r="K91" s="66"/>
      <c r="L91" s="65"/>
      <c r="M91" s="65"/>
      <c r="N91" s="65"/>
      <c r="O91" s="66"/>
      <c r="P91" s="66"/>
      <c r="Q91" s="66"/>
      <c r="R91" s="65"/>
      <c r="S91" s="65"/>
      <c r="T91" s="65"/>
      <c r="U91" s="66"/>
      <c r="V91" s="66"/>
      <c r="W91" s="66"/>
      <c r="X91" s="65"/>
      <c r="Y91" s="65"/>
      <c r="Z91" s="65"/>
      <c r="AA91" s="66"/>
      <c r="AB91" s="66"/>
      <c r="AC91" s="66"/>
      <c r="AD91" s="65"/>
      <c r="AE91" s="65"/>
      <c r="AF91" s="65"/>
      <c r="AG91" s="66"/>
      <c r="AH91" s="66"/>
      <c r="AI91" s="66"/>
      <c r="AJ91" s="65"/>
      <c r="AK91" s="65"/>
      <c r="AL91" s="65"/>
      <c r="AM91" s="66"/>
      <c r="AN91" s="66"/>
      <c r="AO91" s="66"/>
    </row>
    <row r="92" spans="1:41" s="58" customFormat="1" ht="17.25" x14ac:dyDescent="0.3">
      <c r="A92" s="68" t="s">
        <v>75</v>
      </c>
      <c r="B92" s="16"/>
      <c r="C92" s="14">
        <f>H92+K92+N92+Q92+T92+W92+Z92+AC92+AF92+AI92+AL92+AO92</f>
        <v>0</v>
      </c>
      <c r="D92" s="24"/>
      <c r="E92" s="3"/>
      <c r="F92" s="132">
        <v>0</v>
      </c>
      <c r="G92" s="65"/>
      <c r="H92" s="65">
        <f t="shared" si="27"/>
        <v>0</v>
      </c>
      <c r="I92" s="132"/>
      <c r="J92" s="66"/>
      <c r="K92" s="66">
        <f t="shared" si="28"/>
        <v>0</v>
      </c>
      <c r="L92" s="65">
        <v>0</v>
      </c>
      <c r="M92" s="65"/>
      <c r="N92" s="65">
        <f t="shared" si="29"/>
        <v>0</v>
      </c>
      <c r="O92" s="132">
        <v>0</v>
      </c>
      <c r="P92" s="66"/>
      <c r="Q92" s="66">
        <f t="shared" si="30"/>
        <v>0</v>
      </c>
      <c r="R92" s="132">
        <v>0</v>
      </c>
      <c r="S92" s="65"/>
      <c r="T92" s="65">
        <f t="shared" si="31"/>
        <v>0</v>
      </c>
      <c r="U92" s="132">
        <v>0</v>
      </c>
      <c r="V92" s="66"/>
      <c r="W92" s="66">
        <f t="shared" si="32"/>
        <v>0</v>
      </c>
      <c r="X92" s="65"/>
      <c r="Y92" s="65"/>
      <c r="Z92" s="65">
        <f t="shared" si="33"/>
        <v>0</v>
      </c>
      <c r="AA92" s="66"/>
      <c r="AB92" s="66"/>
      <c r="AC92" s="66">
        <f t="shared" si="34"/>
        <v>0</v>
      </c>
      <c r="AD92" s="65"/>
      <c r="AE92" s="65"/>
      <c r="AF92" s="65">
        <f t="shared" si="35"/>
        <v>0</v>
      </c>
      <c r="AG92" s="66"/>
      <c r="AH92" s="66"/>
      <c r="AI92" s="66">
        <f t="shared" si="36"/>
        <v>0</v>
      </c>
      <c r="AJ92" s="65"/>
      <c r="AK92" s="65"/>
      <c r="AL92" s="65">
        <f t="shared" si="37"/>
        <v>0</v>
      </c>
      <c r="AM92" s="66"/>
      <c r="AN92" s="66"/>
      <c r="AO92" s="66">
        <f t="shared" ref="AO92:AO95" si="50">AM92+AN92</f>
        <v>0</v>
      </c>
    </row>
    <row r="93" spans="1:41" s="58" customFormat="1" ht="17.25" x14ac:dyDescent="0.3">
      <c r="A93" s="15" t="s">
        <v>35</v>
      </c>
      <c r="B93" s="16"/>
      <c r="C93" s="14">
        <f>H93+K93+N93+Q93+T93+W93+Z93+AC93+AF93+AI93+AL93+AO93</f>
        <v>358218</v>
      </c>
      <c r="D93" s="24"/>
      <c r="E93" s="3"/>
      <c r="F93" s="132">
        <v>21872</v>
      </c>
      <c r="G93" s="65"/>
      <c r="H93" s="65">
        <f t="shared" si="27"/>
        <v>21872</v>
      </c>
      <c r="I93" s="132">
        <v>2703</v>
      </c>
      <c r="J93" s="66"/>
      <c r="K93" s="66">
        <f t="shared" si="28"/>
        <v>2703</v>
      </c>
      <c r="L93" s="65">
        <v>0</v>
      </c>
      <c r="M93" s="65"/>
      <c r="N93" s="65">
        <f t="shared" si="29"/>
        <v>0</v>
      </c>
      <c r="O93" s="132">
        <v>0</v>
      </c>
      <c r="P93" s="66"/>
      <c r="Q93" s="66">
        <f t="shared" si="30"/>
        <v>0</v>
      </c>
      <c r="R93" s="132">
        <v>333643</v>
      </c>
      <c r="S93" s="65"/>
      <c r="T93" s="65">
        <f t="shared" si="31"/>
        <v>333643</v>
      </c>
      <c r="U93" s="132">
        <v>0</v>
      </c>
      <c r="V93" s="66"/>
      <c r="W93" s="66">
        <f t="shared" si="32"/>
        <v>0</v>
      </c>
      <c r="X93" s="65">
        <v>0</v>
      </c>
      <c r="Y93" s="65"/>
      <c r="Z93" s="65">
        <f t="shared" si="33"/>
        <v>0</v>
      </c>
      <c r="AA93" s="66">
        <v>0</v>
      </c>
      <c r="AB93" s="66"/>
      <c r="AC93" s="66">
        <f t="shared" si="34"/>
        <v>0</v>
      </c>
      <c r="AD93" s="65"/>
      <c r="AE93" s="65"/>
      <c r="AF93" s="65">
        <f t="shared" si="35"/>
        <v>0</v>
      </c>
      <c r="AG93" s="66"/>
      <c r="AH93" s="66"/>
      <c r="AI93" s="66">
        <f t="shared" si="36"/>
        <v>0</v>
      </c>
      <c r="AJ93" s="65"/>
      <c r="AK93" s="65"/>
      <c r="AL93" s="65">
        <f t="shared" si="37"/>
        <v>0</v>
      </c>
      <c r="AM93" s="66"/>
      <c r="AN93" s="66"/>
      <c r="AO93" s="66">
        <f t="shared" si="50"/>
        <v>0</v>
      </c>
    </row>
    <row r="94" spans="1:41" s="58" customFormat="1" ht="17.25" x14ac:dyDescent="0.3">
      <c r="A94" s="68" t="s">
        <v>76</v>
      </c>
      <c r="B94" s="16"/>
      <c r="C94" s="14">
        <f>H94+K94+N94+Q94+T94+W94+Z94+AC94+AF94+AI94+AL94+AO94</f>
        <v>38032</v>
      </c>
      <c r="D94" s="24"/>
      <c r="E94" s="3"/>
      <c r="F94" s="132">
        <v>38032</v>
      </c>
      <c r="G94" s="65"/>
      <c r="H94" s="65">
        <f t="shared" si="27"/>
        <v>38032</v>
      </c>
      <c r="I94" s="132">
        <v>0</v>
      </c>
      <c r="J94" s="66"/>
      <c r="K94" s="66">
        <f t="shared" si="28"/>
        <v>0</v>
      </c>
      <c r="L94" s="65">
        <v>0</v>
      </c>
      <c r="M94" s="65"/>
      <c r="N94" s="65">
        <f t="shared" si="29"/>
        <v>0</v>
      </c>
      <c r="O94" s="132">
        <v>0</v>
      </c>
      <c r="P94" s="66"/>
      <c r="Q94" s="66">
        <f t="shared" si="30"/>
        <v>0</v>
      </c>
      <c r="R94" s="132">
        <v>0</v>
      </c>
      <c r="S94" s="65"/>
      <c r="T94" s="65">
        <f t="shared" si="31"/>
        <v>0</v>
      </c>
      <c r="U94" s="132">
        <v>0</v>
      </c>
      <c r="V94" s="66"/>
      <c r="W94" s="66">
        <f t="shared" si="32"/>
        <v>0</v>
      </c>
      <c r="X94" s="65"/>
      <c r="Y94" s="65"/>
      <c r="Z94" s="65">
        <f t="shared" si="33"/>
        <v>0</v>
      </c>
      <c r="AA94" s="66"/>
      <c r="AB94" s="66"/>
      <c r="AC94" s="66">
        <f t="shared" si="34"/>
        <v>0</v>
      </c>
      <c r="AD94" s="65"/>
      <c r="AE94" s="65"/>
      <c r="AF94" s="65">
        <f t="shared" si="35"/>
        <v>0</v>
      </c>
      <c r="AG94" s="66"/>
      <c r="AH94" s="66"/>
      <c r="AI94" s="66">
        <f t="shared" si="36"/>
        <v>0</v>
      </c>
      <c r="AJ94" s="65"/>
      <c r="AK94" s="65"/>
      <c r="AL94" s="65">
        <f t="shared" si="37"/>
        <v>0</v>
      </c>
      <c r="AM94" s="66"/>
      <c r="AN94" s="66"/>
      <c r="AO94" s="66">
        <f t="shared" si="50"/>
        <v>0</v>
      </c>
    </row>
    <row r="95" spans="1:41" s="58" customFormat="1" ht="18.95" customHeight="1" x14ac:dyDescent="0.3">
      <c r="A95" s="15" t="s">
        <v>36</v>
      </c>
      <c r="B95" s="16"/>
      <c r="C95" s="14">
        <f>H95+K95+N95+Q95+T95+W95+Z95+AC95+AF95+AI95+AL95+AO95</f>
        <v>117298</v>
      </c>
      <c r="D95" s="45"/>
      <c r="E95" s="3"/>
      <c r="F95" s="132">
        <f>30395+309263+1</f>
        <v>339659</v>
      </c>
      <c r="G95" s="120">
        <f>-100430-64350-86600-2200-28017</f>
        <v>-281597</v>
      </c>
      <c r="H95" s="65">
        <f t="shared" si="27"/>
        <v>58062</v>
      </c>
      <c r="I95" s="132">
        <f>49235+1</f>
        <v>49236</v>
      </c>
      <c r="J95" s="120"/>
      <c r="K95" s="66">
        <f t="shared" si="28"/>
        <v>49236</v>
      </c>
      <c r="L95" s="65">
        <v>0</v>
      </c>
      <c r="M95" s="65"/>
      <c r="N95" s="65">
        <f t="shared" si="29"/>
        <v>0</v>
      </c>
      <c r="O95" s="132">
        <v>51236</v>
      </c>
      <c r="P95" s="120">
        <v>-51236</v>
      </c>
      <c r="Q95" s="66">
        <f t="shared" si="30"/>
        <v>0</v>
      </c>
      <c r="R95" s="132">
        <v>439000</v>
      </c>
      <c r="S95" s="120">
        <f>-331000-100000</f>
        <v>-431000</v>
      </c>
      <c r="T95" s="65">
        <f t="shared" si="31"/>
        <v>8000</v>
      </c>
      <c r="U95" s="132">
        <v>0</v>
      </c>
      <c r="V95" s="120">
        <v>0</v>
      </c>
      <c r="W95" s="66">
        <f t="shared" si="32"/>
        <v>0</v>
      </c>
      <c r="X95" s="132">
        <v>2000</v>
      </c>
      <c r="Y95" s="65"/>
      <c r="Z95" s="65">
        <f t="shared" si="33"/>
        <v>2000</v>
      </c>
      <c r="AA95" s="66">
        <v>0</v>
      </c>
      <c r="AB95" s="66"/>
      <c r="AC95" s="66">
        <f t="shared" si="34"/>
        <v>0</v>
      </c>
      <c r="AD95" s="65"/>
      <c r="AE95" s="65"/>
      <c r="AF95" s="65">
        <f t="shared" si="35"/>
        <v>0</v>
      </c>
      <c r="AG95" s="66"/>
      <c r="AH95" s="66"/>
      <c r="AI95" s="66">
        <f t="shared" si="36"/>
        <v>0</v>
      </c>
      <c r="AJ95" s="65"/>
      <c r="AK95" s="97"/>
      <c r="AL95" s="65">
        <f t="shared" si="37"/>
        <v>0</v>
      </c>
      <c r="AM95" s="66"/>
      <c r="AN95" s="66"/>
      <c r="AO95" s="66">
        <f t="shared" si="50"/>
        <v>0</v>
      </c>
    </row>
    <row r="96" spans="1:41" s="58" customFormat="1" ht="18.95" customHeight="1" x14ac:dyDescent="0.3">
      <c r="A96" s="70" t="s">
        <v>80</v>
      </c>
      <c r="B96" s="16"/>
      <c r="C96" s="28">
        <f>SUM(C92:C95)</f>
        <v>513548</v>
      </c>
      <c r="D96" s="28"/>
      <c r="E96" s="3"/>
      <c r="F96" s="28">
        <f>SUM(F92:F95)</f>
        <v>399563</v>
      </c>
      <c r="G96" s="28">
        <f>SUM(G92:G95)</f>
        <v>-281597</v>
      </c>
      <c r="H96" s="28">
        <f>SUM(H92:H95)</f>
        <v>117966</v>
      </c>
      <c r="I96" s="28">
        <f t="shared" ref="I96:AO96" si="51">SUM(I92:I95)</f>
        <v>51939</v>
      </c>
      <c r="J96" s="28">
        <f t="shared" si="51"/>
        <v>0</v>
      </c>
      <c r="K96" s="28">
        <f t="shared" si="51"/>
        <v>51939</v>
      </c>
      <c r="L96" s="28">
        <f t="shared" si="51"/>
        <v>0</v>
      </c>
      <c r="M96" s="28">
        <f t="shared" si="51"/>
        <v>0</v>
      </c>
      <c r="N96" s="28">
        <f t="shared" si="51"/>
        <v>0</v>
      </c>
      <c r="O96" s="28">
        <f t="shared" si="51"/>
        <v>51236</v>
      </c>
      <c r="P96" s="28">
        <f t="shared" si="51"/>
        <v>-51236</v>
      </c>
      <c r="Q96" s="28">
        <f t="shared" si="51"/>
        <v>0</v>
      </c>
      <c r="R96" s="28">
        <f t="shared" si="51"/>
        <v>772643</v>
      </c>
      <c r="S96" s="28">
        <f t="shared" si="51"/>
        <v>-431000</v>
      </c>
      <c r="T96" s="28">
        <f t="shared" si="51"/>
        <v>341643</v>
      </c>
      <c r="U96" s="28">
        <f t="shared" si="51"/>
        <v>0</v>
      </c>
      <c r="V96" s="28">
        <f t="shared" si="51"/>
        <v>0</v>
      </c>
      <c r="W96" s="28">
        <f t="shared" si="51"/>
        <v>0</v>
      </c>
      <c r="X96" s="28">
        <f t="shared" si="51"/>
        <v>2000</v>
      </c>
      <c r="Y96" s="28">
        <f t="shared" si="51"/>
        <v>0</v>
      </c>
      <c r="Z96" s="28">
        <f t="shared" si="51"/>
        <v>2000</v>
      </c>
      <c r="AA96" s="28">
        <f t="shared" si="51"/>
        <v>0</v>
      </c>
      <c r="AB96" s="28">
        <f t="shared" si="51"/>
        <v>0</v>
      </c>
      <c r="AC96" s="28">
        <f t="shared" si="51"/>
        <v>0</v>
      </c>
      <c r="AD96" s="28">
        <f t="shared" si="51"/>
        <v>0</v>
      </c>
      <c r="AE96" s="28">
        <f t="shared" si="51"/>
        <v>0</v>
      </c>
      <c r="AF96" s="28">
        <f t="shared" si="51"/>
        <v>0</v>
      </c>
      <c r="AG96" s="28">
        <f t="shared" si="51"/>
        <v>0</v>
      </c>
      <c r="AH96" s="28">
        <f t="shared" si="51"/>
        <v>0</v>
      </c>
      <c r="AI96" s="28">
        <f t="shared" si="51"/>
        <v>0</v>
      </c>
      <c r="AJ96" s="28">
        <f t="shared" si="51"/>
        <v>0</v>
      </c>
      <c r="AK96" s="28">
        <f t="shared" si="51"/>
        <v>0</v>
      </c>
      <c r="AL96" s="28">
        <f t="shared" si="51"/>
        <v>0</v>
      </c>
      <c r="AM96" s="28">
        <f t="shared" si="51"/>
        <v>0</v>
      </c>
      <c r="AN96" s="28">
        <f t="shared" si="51"/>
        <v>0</v>
      </c>
      <c r="AO96" s="28">
        <f t="shared" si="51"/>
        <v>0</v>
      </c>
    </row>
    <row r="97" spans="1:42" s="58" customFormat="1" ht="18.95" customHeight="1" x14ac:dyDescent="0.3">
      <c r="A97" s="70" t="s">
        <v>81</v>
      </c>
      <c r="B97" s="16"/>
      <c r="C97" s="72">
        <f>C89+C96</f>
        <v>920449</v>
      </c>
      <c r="D97" s="28"/>
      <c r="E97" s="3"/>
      <c r="F97" s="72">
        <f>F89+F96</f>
        <v>806464</v>
      </c>
      <c r="G97" s="72">
        <f t="shared" ref="G97:AO97" si="52">G89+G96</f>
        <v>-281597</v>
      </c>
      <c r="H97" s="72">
        <f t="shared" si="52"/>
        <v>524867</v>
      </c>
      <c r="I97" s="72">
        <f t="shared" si="52"/>
        <v>51939</v>
      </c>
      <c r="J97" s="72">
        <f t="shared" si="52"/>
        <v>0</v>
      </c>
      <c r="K97" s="72">
        <f t="shared" si="52"/>
        <v>51939</v>
      </c>
      <c r="L97" s="72">
        <f t="shared" si="52"/>
        <v>0</v>
      </c>
      <c r="M97" s="72">
        <f t="shared" si="52"/>
        <v>0</v>
      </c>
      <c r="N97" s="72">
        <f t="shared" si="52"/>
        <v>0</v>
      </c>
      <c r="O97" s="72">
        <f t="shared" si="52"/>
        <v>51236</v>
      </c>
      <c r="P97" s="72">
        <f t="shared" si="52"/>
        <v>-51236</v>
      </c>
      <c r="Q97" s="72">
        <f t="shared" si="52"/>
        <v>0</v>
      </c>
      <c r="R97" s="72">
        <f t="shared" si="52"/>
        <v>772643</v>
      </c>
      <c r="S97" s="72">
        <f t="shared" si="52"/>
        <v>-431000</v>
      </c>
      <c r="T97" s="72">
        <f t="shared" si="52"/>
        <v>341643</v>
      </c>
      <c r="U97" s="72">
        <f t="shared" si="52"/>
        <v>0</v>
      </c>
      <c r="V97" s="72">
        <f t="shared" si="52"/>
        <v>0</v>
      </c>
      <c r="W97" s="72">
        <f t="shared" si="52"/>
        <v>0</v>
      </c>
      <c r="X97" s="72">
        <f t="shared" si="52"/>
        <v>2000</v>
      </c>
      <c r="Y97" s="72">
        <f t="shared" si="52"/>
        <v>0</v>
      </c>
      <c r="Z97" s="72">
        <f t="shared" si="52"/>
        <v>2000</v>
      </c>
      <c r="AA97" s="72">
        <f t="shared" si="52"/>
        <v>0</v>
      </c>
      <c r="AB97" s="72">
        <f t="shared" si="52"/>
        <v>0</v>
      </c>
      <c r="AC97" s="72">
        <f t="shared" si="52"/>
        <v>0</v>
      </c>
      <c r="AD97" s="72">
        <f t="shared" si="52"/>
        <v>0</v>
      </c>
      <c r="AE97" s="72">
        <f t="shared" si="52"/>
        <v>0</v>
      </c>
      <c r="AF97" s="72">
        <f t="shared" si="52"/>
        <v>0</v>
      </c>
      <c r="AG97" s="72">
        <f t="shared" si="52"/>
        <v>0</v>
      </c>
      <c r="AH97" s="72">
        <f t="shared" si="52"/>
        <v>0</v>
      </c>
      <c r="AI97" s="72">
        <f t="shared" si="52"/>
        <v>0</v>
      </c>
      <c r="AJ97" s="72">
        <f t="shared" si="52"/>
        <v>0</v>
      </c>
      <c r="AK97" s="72">
        <f t="shared" si="52"/>
        <v>0</v>
      </c>
      <c r="AL97" s="72">
        <f t="shared" si="52"/>
        <v>0</v>
      </c>
      <c r="AM97" s="72">
        <f t="shared" si="52"/>
        <v>0</v>
      </c>
      <c r="AN97" s="72">
        <f t="shared" si="52"/>
        <v>0</v>
      </c>
      <c r="AO97" s="72">
        <f t="shared" si="52"/>
        <v>0</v>
      </c>
      <c r="AP97" s="3"/>
    </row>
    <row r="98" spans="1:42" s="58" customFormat="1" ht="18.95" customHeight="1" x14ac:dyDescent="0.3">
      <c r="A98" s="4"/>
      <c r="B98" s="16"/>
      <c r="C98" s="28"/>
      <c r="D98" s="28"/>
      <c r="E98" s="3"/>
      <c r="F98" s="28"/>
      <c r="G98" s="65"/>
      <c r="H98" s="65"/>
      <c r="I98" s="66"/>
      <c r="J98" s="66"/>
      <c r="K98" s="66"/>
      <c r="L98" s="65"/>
      <c r="M98" s="65"/>
      <c r="N98" s="65"/>
      <c r="O98" s="66"/>
      <c r="P98" s="66"/>
      <c r="Q98" s="66"/>
      <c r="R98" s="65"/>
      <c r="S98" s="65"/>
      <c r="T98" s="65"/>
      <c r="U98" s="66"/>
      <c r="V98" s="66"/>
      <c r="W98" s="66"/>
      <c r="X98" s="65"/>
      <c r="Y98" s="65"/>
      <c r="Z98" s="65"/>
      <c r="AA98" s="66"/>
      <c r="AB98" s="66"/>
      <c r="AC98" s="66"/>
      <c r="AD98" s="65"/>
      <c r="AE98" s="65"/>
      <c r="AF98" s="65"/>
      <c r="AG98" s="66"/>
      <c r="AH98" s="66"/>
      <c r="AI98" s="66"/>
      <c r="AJ98" s="65"/>
      <c r="AK98" s="65"/>
      <c r="AL98" s="65"/>
      <c r="AM98" s="66"/>
      <c r="AN98" s="66"/>
      <c r="AO98" s="66"/>
      <c r="AP98" s="3"/>
    </row>
    <row r="99" spans="1:42" s="58" customFormat="1" ht="18.95" customHeight="1" thickBot="1" x14ac:dyDescent="0.35">
      <c r="A99" s="4" t="s">
        <v>37</v>
      </c>
      <c r="B99" s="16"/>
      <c r="C99" s="17">
        <f>C84+C97</f>
        <v>3986204</v>
      </c>
      <c r="D99" s="28"/>
      <c r="E99" s="3"/>
      <c r="F99" s="17">
        <f>F84+F97</f>
        <v>1934425</v>
      </c>
      <c r="G99" s="17">
        <f t="shared" ref="G99:AO99" si="53">G84+G97</f>
        <v>-281597</v>
      </c>
      <c r="H99" s="17">
        <f t="shared" si="53"/>
        <v>1652828</v>
      </c>
      <c r="I99" s="17">
        <f t="shared" si="53"/>
        <v>279651</v>
      </c>
      <c r="J99" s="17">
        <f t="shared" si="53"/>
        <v>0</v>
      </c>
      <c r="K99" s="17">
        <f t="shared" si="53"/>
        <v>279651</v>
      </c>
      <c r="L99" s="17">
        <f t="shared" si="53"/>
        <v>0</v>
      </c>
      <c r="M99" s="17">
        <f t="shared" si="53"/>
        <v>0</v>
      </c>
      <c r="N99" s="17">
        <f t="shared" si="53"/>
        <v>0</v>
      </c>
      <c r="O99" s="17">
        <f t="shared" si="53"/>
        <v>574466</v>
      </c>
      <c r="P99" s="17">
        <f t="shared" si="53"/>
        <v>-51236</v>
      </c>
      <c r="Q99" s="17">
        <f t="shared" si="53"/>
        <v>523230</v>
      </c>
      <c r="R99" s="17">
        <f t="shared" si="53"/>
        <v>1733679</v>
      </c>
      <c r="S99" s="17">
        <f t="shared" si="53"/>
        <v>-431000</v>
      </c>
      <c r="T99" s="17">
        <f t="shared" si="53"/>
        <v>1302679</v>
      </c>
      <c r="U99" s="17">
        <f t="shared" si="53"/>
        <v>63491</v>
      </c>
      <c r="V99" s="17">
        <f t="shared" si="53"/>
        <v>0</v>
      </c>
      <c r="W99" s="17">
        <f t="shared" si="53"/>
        <v>63491</v>
      </c>
      <c r="X99" s="17">
        <f t="shared" si="53"/>
        <v>93604</v>
      </c>
      <c r="Y99" s="17">
        <f t="shared" si="53"/>
        <v>0</v>
      </c>
      <c r="Z99" s="17">
        <f t="shared" si="53"/>
        <v>93604</v>
      </c>
      <c r="AA99" s="17">
        <f t="shared" si="53"/>
        <v>67076</v>
      </c>
      <c r="AB99" s="17">
        <f t="shared" si="53"/>
        <v>0</v>
      </c>
      <c r="AC99" s="17">
        <f t="shared" si="53"/>
        <v>67076</v>
      </c>
      <c r="AD99" s="17">
        <f t="shared" si="53"/>
        <v>3645</v>
      </c>
      <c r="AE99" s="17">
        <f t="shared" si="53"/>
        <v>0</v>
      </c>
      <c r="AF99" s="17">
        <f t="shared" si="53"/>
        <v>3645</v>
      </c>
      <c r="AG99" s="17">
        <f t="shared" si="53"/>
        <v>0</v>
      </c>
      <c r="AH99" s="17">
        <f t="shared" si="53"/>
        <v>0</v>
      </c>
      <c r="AI99" s="17">
        <f t="shared" si="53"/>
        <v>0</v>
      </c>
      <c r="AJ99" s="17">
        <f t="shared" si="53"/>
        <v>0</v>
      </c>
      <c r="AK99" s="17">
        <f t="shared" si="53"/>
        <v>0</v>
      </c>
      <c r="AL99" s="17">
        <f t="shared" si="53"/>
        <v>0</v>
      </c>
      <c r="AM99" s="17">
        <f t="shared" si="53"/>
        <v>0</v>
      </c>
      <c r="AN99" s="17">
        <f t="shared" si="53"/>
        <v>0</v>
      </c>
      <c r="AO99" s="17">
        <f t="shared" si="53"/>
        <v>0</v>
      </c>
      <c r="AP99" s="3"/>
    </row>
    <row r="100" spans="1:42" s="58" customFormat="1" ht="15.75" thickTop="1" x14ac:dyDescent="0.2">
      <c r="A100" s="3"/>
      <c r="B100" s="3"/>
      <c r="C100" s="73">
        <f>C74-C99</f>
        <v>0</v>
      </c>
      <c r="D100" s="50"/>
      <c r="E100" s="3"/>
      <c r="F100" s="73">
        <f>F74-F99</f>
        <v>0</v>
      </c>
      <c r="G100" s="73">
        <f t="shared" ref="G100:AO100" si="54">G74-G99</f>
        <v>130361</v>
      </c>
      <c r="H100" s="73">
        <f t="shared" si="54"/>
        <v>130361</v>
      </c>
      <c r="I100" s="73">
        <f t="shared" si="54"/>
        <v>0</v>
      </c>
      <c r="J100" s="73">
        <f t="shared" si="54"/>
        <v>-181345</v>
      </c>
      <c r="K100" s="73">
        <f t="shared" si="54"/>
        <v>-181345</v>
      </c>
      <c r="L100" s="73">
        <f t="shared" si="54"/>
        <v>0</v>
      </c>
      <c r="M100" s="73">
        <f t="shared" si="54"/>
        <v>0</v>
      </c>
      <c r="N100" s="73">
        <f t="shared" si="54"/>
        <v>0</v>
      </c>
      <c r="O100" s="73">
        <f t="shared" si="54"/>
        <v>0</v>
      </c>
      <c r="P100" s="73">
        <f t="shared" si="54"/>
        <v>-357751</v>
      </c>
      <c r="Q100" s="73">
        <f t="shared" si="54"/>
        <v>-357751</v>
      </c>
      <c r="R100" s="73">
        <f t="shared" si="54"/>
        <v>0</v>
      </c>
      <c r="S100" s="73">
        <f t="shared" si="54"/>
        <v>431000</v>
      </c>
      <c r="T100" s="73">
        <f t="shared" si="54"/>
        <v>431000</v>
      </c>
      <c r="U100" s="73">
        <f t="shared" si="54"/>
        <v>0</v>
      </c>
      <c r="V100" s="73">
        <f t="shared" si="54"/>
        <v>-11495</v>
      </c>
      <c r="W100" s="73">
        <f t="shared" si="54"/>
        <v>-11495</v>
      </c>
      <c r="X100" s="73">
        <f t="shared" si="54"/>
        <v>0</v>
      </c>
      <c r="Y100" s="73">
        <f t="shared" si="54"/>
        <v>0</v>
      </c>
      <c r="Z100" s="73">
        <f t="shared" si="54"/>
        <v>0</v>
      </c>
      <c r="AA100" s="73">
        <f t="shared" si="54"/>
        <v>0</v>
      </c>
      <c r="AB100" s="73">
        <f t="shared" si="54"/>
        <v>-10770</v>
      </c>
      <c r="AC100" s="73">
        <f t="shared" si="54"/>
        <v>-10770</v>
      </c>
      <c r="AD100" s="73">
        <f t="shared" si="54"/>
        <v>0</v>
      </c>
      <c r="AE100" s="73">
        <f t="shared" si="54"/>
        <v>0</v>
      </c>
      <c r="AF100" s="73">
        <f t="shared" si="54"/>
        <v>0</v>
      </c>
      <c r="AG100" s="73">
        <f t="shared" si="54"/>
        <v>0</v>
      </c>
      <c r="AH100" s="73">
        <f t="shared" si="54"/>
        <v>0</v>
      </c>
      <c r="AI100" s="73">
        <f t="shared" si="54"/>
        <v>0</v>
      </c>
      <c r="AJ100" s="73">
        <f t="shared" si="54"/>
        <v>0</v>
      </c>
      <c r="AK100" s="73">
        <f t="shared" si="54"/>
        <v>0</v>
      </c>
      <c r="AL100" s="73">
        <f t="shared" si="54"/>
        <v>0</v>
      </c>
      <c r="AM100" s="73">
        <f t="shared" si="54"/>
        <v>0</v>
      </c>
      <c r="AN100" s="73">
        <f t="shared" si="54"/>
        <v>0</v>
      </c>
      <c r="AO100" s="73">
        <f t="shared" si="54"/>
        <v>0</v>
      </c>
      <c r="AP100" s="51"/>
    </row>
    <row r="101" spans="1:42" s="58" customFormat="1" x14ac:dyDescent="0.2">
      <c r="A101" s="3"/>
      <c r="B101" s="3"/>
      <c r="C101" s="50"/>
      <c r="D101" s="50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 t="s">
        <v>163</v>
      </c>
      <c r="AO101" s="51">
        <f>SUM(F100:AO100)</f>
        <v>0</v>
      </c>
      <c r="AP101" s="3"/>
    </row>
    <row r="102" spans="1:42" s="58" customFormat="1" x14ac:dyDescent="0.2">
      <c r="A102" s="3"/>
      <c r="B102" s="3"/>
      <c r="C102" s="51"/>
      <c r="D102" s="52"/>
      <c r="E102" s="3"/>
      <c r="F102" s="3"/>
      <c r="G102" s="51">
        <f>SUM(G100)</f>
        <v>130361</v>
      </c>
      <c r="H102" s="51"/>
      <c r="I102" s="51"/>
      <c r="J102" s="51">
        <f t="shared" ref="J102:AB102" si="55">SUM(J100)</f>
        <v>-181345</v>
      </c>
      <c r="K102" s="51"/>
      <c r="L102" s="51"/>
      <c r="M102" s="51">
        <f t="shared" si="55"/>
        <v>0</v>
      </c>
      <c r="N102" s="51"/>
      <c r="O102" s="51"/>
      <c r="P102" s="51">
        <f t="shared" si="55"/>
        <v>-357751</v>
      </c>
      <c r="Q102" s="51"/>
      <c r="R102" s="51"/>
      <c r="S102" s="51">
        <f t="shared" si="55"/>
        <v>431000</v>
      </c>
      <c r="T102" s="51"/>
      <c r="U102" s="51"/>
      <c r="V102" s="51">
        <f t="shared" si="55"/>
        <v>-11495</v>
      </c>
      <c r="W102" s="51"/>
      <c r="X102" s="51"/>
      <c r="Y102" s="51">
        <f t="shared" si="55"/>
        <v>0</v>
      </c>
      <c r="Z102" s="51"/>
      <c r="AA102" s="51"/>
      <c r="AB102" s="51">
        <f t="shared" si="55"/>
        <v>-10770</v>
      </c>
      <c r="AC102" s="51"/>
      <c r="AD102" s="3"/>
      <c r="AE102" s="51">
        <f t="shared" ref="AE102" si="56">SUM(AE100)</f>
        <v>0</v>
      </c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2" s="58" customFormat="1" x14ac:dyDescent="0.2">
      <c r="A103" s="15" t="s">
        <v>165</v>
      </c>
      <c r="B103" s="150"/>
      <c r="C103" s="150"/>
      <c r="D103" s="56"/>
      <c r="E103" s="51"/>
      <c r="F103" s="51">
        <f>SUM(G102:AE102)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 s="58" customFormat="1" x14ac:dyDescent="0.2">
      <c r="A104" s="15" t="s">
        <v>166</v>
      </c>
      <c r="B104" s="3"/>
      <c r="C104" s="15"/>
      <c r="D104" s="12"/>
      <c r="E104" s="3"/>
      <c r="F104" s="3"/>
      <c r="G104" s="3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 s="58" customFormat="1" x14ac:dyDescent="0.2">
      <c r="A105" s="15"/>
      <c r="B105" s="3"/>
      <c r="C105" s="15"/>
      <c r="D105" s="12"/>
      <c r="E105" s="3"/>
      <c r="F105" s="51"/>
      <c r="G105" s="3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1:42" s="58" customFormat="1" x14ac:dyDescent="0.2">
      <c r="A106" s="15"/>
      <c r="B106" s="3"/>
      <c r="C106" s="15"/>
      <c r="D106" s="1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2" s="58" customFormat="1" x14ac:dyDescent="0.2">
      <c r="A107" s="15"/>
      <c r="B107" s="3"/>
      <c r="C107" s="15"/>
      <c r="D107" s="1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1:42" s="58" customFormat="1" ht="15.75" x14ac:dyDescent="0.25">
      <c r="A108" s="71" t="s">
        <v>130</v>
      </c>
      <c r="B108" s="3"/>
      <c r="C108" s="15"/>
      <c r="D108" s="1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1:42" s="58" customFormat="1" x14ac:dyDescent="0.2">
      <c r="A109" s="15" t="s">
        <v>131</v>
      </c>
      <c r="B109" s="150"/>
      <c r="C109" s="102">
        <f>F109+I109+L109+O109+R109+U109+X109+AA109+AD109+AG109+AJ109+AM109</f>
        <v>300961.87</v>
      </c>
      <c r="D109" s="56"/>
      <c r="E109" s="3"/>
      <c r="F109" s="3">
        <v>300961.87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1:42" s="58" customFormat="1" x14ac:dyDescent="0.2">
      <c r="A110" s="15" t="s">
        <v>132</v>
      </c>
      <c r="B110" s="150"/>
      <c r="C110" s="102">
        <f>F110+I110+L110+O110+R110+U110+X110+AA110+AD110+AG110+AJ110+AM110</f>
        <v>0</v>
      </c>
      <c r="D110" s="56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1:42" s="58" customFormat="1" x14ac:dyDescent="0.2">
      <c r="A111" s="15" t="s">
        <v>133</v>
      </c>
      <c r="B111" s="150"/>
      <c r="C111" s="102">
        <f t="shared" ref="C111:C123" si="57">F111+I111+L111+O111+R111+U111+X111+AA111+AD111+AG111+AJ111+AM111</f>
        <v>28540</v>
      </c>
      <c r="D111" s="56"/>
      <c r="E111" s="3"/>
      <c r="F111" s="3">
        <v>28540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1:42" s="58" customFormat="1" x14ac:dyDescent="0.2">
      <c r="A112" s="15" t="s">
        <v>134</v>
      </c>
      <c r="B112" s="150"/>
      <c r="C112" s="102">
        <f t="shared" si="57"/>
        <v>18690</v>
      </c>
      <c r="D112" s="56"/>
      <c r="E112" s="3"/>
      <c r="F112" s="3">
        <f>15000+3690</f>
        <v>18690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1:27" s="58" customFormat="1" x14ac:dyDescent="0.2">
      <c r="A113" s="15" t="s">
        <v>146</v>
      </c>
      <c r="B113" s="150"/>
      <c r="C113" s="102">
        <f t="shared" si="57"/>
        <v>0</v>
      </c>
      <c r="D113" s="56"/>
    </row>
    <row r="114" spans="1:27" s="58" customFormat="1" x14ac:dyDescent="0.2">
      <c r="A114" s="15" t="s">
        <v>180</v>
      </c>
      <c r="B114" s="150"/>
      <c r="C114" s="102">
        <f t="shared" si="57"/>
        <v>-130465</v>
      </c>
      <c r="D114" s="56"/>
      <c r="F114" s="58">
        <v>-130465</v>
      </c>
    </row>
    <row r="115" spans="1:27" s="58" customFormat="1" x14ac:dyDescent="0.2">
      <c r="A115" s="15" t="s">
        <v>135</v>
      </c>
      <c r="B115" s="150"/>
      <c r="C115" s="102">
        <f t="shared" si="57"/>
        <v>96346</v>
      </c>
      <c r="D115" s="56"/>
      <c r="I115" s="58">
        <v>38816</v>
      </c>
      <c r="O115" s="58">
        <v>33200</v>
      </c>
      <c r="R115" s="58">
        <v>24330</v>
      </c>
    </row>
    <row r="116" spans="1:27" s="58" customFormat="1" x14ac:dyDescent="0.2">
      <c r="A116" s="15" t="s">
        <v>136</v>
      </c>
      <c r="B116" s="150"/>
      <c r="C116" s="102">
        <f t="shared" si="57"/>
        <v>307255</v>
      </c>
      <c r="D116" s="56"/>
      <c r="F116" s="58">
        <f>54433+7000+6000+5750+2000+15385+6800+6800+500+2500+500+1000+1000+5500+15822+1000</f>
        <v>131990</v>
      </c>
      <c r="O116" s="58">
        <v>165265</v>
      </c>
      <c r="U116" s="58">
        <v>0</v>
      </c>
      <c r="X116" s="58">
        <v>4000</v>
      </c>
      <c r="AA116" s="58">
        <v>6000</v>
      </c>
    </row>
    <row r="117" spans="1:27" s="58" customFormat="1" x14ac:dyDescent="0.2">
      <c r="A117" s="15" t="s">
        <v>143</v>
      </c>
      <c r="B117" s="150"/>
      <c r="C117" s="102">
        <f t="shared" si="57"/>
        <v>50064.78</v>
      </c>
      <c r="D117" s="56"/>
      <c r="F117" s="58">
        <v>50064.78</v>
      </c>
    </row>
    <row r="118" spans="1:27" s="58" customFormat="1" x14ac:dyDescent="0.2">
      <c r="A118" s="15" t="s">
        <v>140</v>
      </c>
      <c r="B118" s="150"/>
      <c r="C118" s="102">
        <f t="shared" si="57"/>
        <v>23138.36</v>
      </c>
      <c r="D118" s="56"/>
      <c r="F118" s="58">
        <f>20687.71+2450.65</f>
        <v>23138.36</v>
      </c>
    </row>
    <row r="119" spans="1:27" s="58" customFormat="1" x14ac:dyDescent="0.2">
      <c r="A119" s="15" t="s">
        <v>137</v>
      </c>
      <c r="B119" s="150"/>
      <c r="C119" s="102">
        <f t="shared" si="57"/>
        <v>29603</v>
      </c>
      <c r="D119" s="56"/>
      <c r="O119" s="58">
        <f>24514+5089</f>
        <v>29603</v>
      </c>
    </row>
    <row r="120" spans="1:27" s="58" customFormat="1" x14ac:dyDescent="0.2">
      <c r="A120" s="15" t="s">
        <v>138</v>
      </c>
      <c r="B120" s="150"/>
      <c r="C120" s="102">
        <f t="shared" si="57"/>
        <v>188791</v>
      </c>
      <c r="D120" s="56"/>
      <c r="O120" s="58">
        <v>188791</v>
      </c>
    </row>
    <row r="121" spans="1:27" s="58" customFormat="1" x14ac:dyDescent="0.2">
      <c r="A121" s="15" t="s">
        <v>144</v>
      </c>
      <c r="B121" s="150"/>
      <c r="C121" s="102">
        <f t="shared" si="57"/>
        <v>0</v>
      </c>
      <c r="D121" s="56"/>
    </row>
    <row r="122" spans="1:27" s="58" customFormat="1" x14ac:dyDescent="0.2">
      <c r="A122" s="15" t="s">
        <v>139</v>
      </c>
      <c r="B122" s="2"/>
      <c r="C122" s="102">
        <f t="shared" si="57"/>
        <v>53550</v>
      </c>
      <c r="D122" s="57"/>
      <c r="R122" s="58">
        <v>53550</v>
      </c>
    </row>
    <row r="123" spans="1:27" s="58" customFormat="1" x14ac:dyDescent="0.2">
      <c r="A123" s="15" t="s">
        <v>141</v>
      </c>
      <c r="B123" s="2"/>
      <c r="C123" s="102">
        <f t="shared" si="57"/>
        <v>25658.5</v>
      </c>
      <c r="D123" s="57"/>
      <c r="F123" s="58">
        <f>2496.5+22283</f>
        <v>24779.5</v>
      </c>
      <c r="I123" s="58">
        <v>0</v>
      </c>
      <c r="O123" s="58">
        <v>879</v>
      </c>
    </row>
    <row r="124" spans="1:27" s="58" customFormat="1" x14ac:dyDescent="0.2">
      <c r="A124" s="3"/>
      <c r="B124" s="2"/>
      <c r="C124" s="103"/>
      <c r="D124" s="57"/>
    </row>
    <row r="125" spans="1:27" s="58" customFormat="1" x14ac:dyDescent="0.2">
      <c r="A125" s="3" t="s">
        <v>142</v>
      </c>
      <c r="B125" s="2"/>
      <c r="C125" s="103">
        <f>SUM(C109:C124)</f>
        <v>992133.51</v>
      </c>
      <c r="D125" s="57"/>
      <c r="F125" s="103">
        <f>SUM(F109:F124)</f>
        <v>447699.51</v>
      </c>
      <c r="I125" s="103"/>
      <c r="O125" s="103"/>
      <c r="R125" s="103"/>
    </row>
    <row r="126" spans="1:27" s="58" customFormat="1" x14ac:dyDescent="0.2">
      <c r="A126" s="3"/>
      <c r="B126" s="2"/>
      <c r="C126" s="2"/>
      <c r="D126" s="57"/>
    </row>
    <row r="127" spans="1:27" s="58" customFormat="1" x14ac:dyDescent="0.2">
      <c r="A127" s="3"/>
      <c r="B127" s="2"/>
      <c r="C127" s="2"/>
      <c r="D127" s="57"/>
    </row>
    <row r="128" spans="1:27" s="58" customFormat="1" x14ac:dyDescent="0.2">
      <c r="A128" s="3"/>
      <c r="B128" s="2"/>
      <c r="C128" s="2"/>
      <c r="D128" s="57"/>
    </row>
    <row r="129" spans="1:27" s="58" customFormat="1" x14ac:dyDescent="0.2">
      <c r="A129" s="3" t="s">
        <v>155</v>
      </c>
      <c r="B129" s="2"/>
      <c r="C129" s="102">
        <f>F129+I129+L129+O129+R129+U129+X129+AA129+AD129+AG129+AJ129+AM129</f>
        <v>0</v>
      </c>
      <c r="D129" s="57"/>
    </row>
    <row r="130" spans="1:27" s="58" customFormat="1" x14ac:dyDescent="0.2">
      <c r="A130" s="3"/>
      <c r="B130" s="2"/>
      <c r="C130" s="2"/>
      <c r="D130" s="57"/>
      <c r="F130" s="127">
        <f>F125-F27</f>
        <v>-0.48999999999068677</v>
      </c>
      <c r="I130" s="127">
        <f>I27-I109-I110-I111-I112-I113-I114-I115-I116-I117-I118-I119-I120-I121-I122-I123-I124-I125-I126-I127</f>
        <v>0</v>
      </c>
      <c r="L130" s="127">
        <f>L27-L109-L110-L111-L112-L113-L114-L115-L116-L117-L118-L119-L120-L121-L122-L123-L124-L125-L126-L127</f>
        <v>0</v>
      </c>
      <c r="O130" s="127">
        <f>O27-O109-O110-O111-O112-O113-O114-O115-O116-O117-O118-O119-O120-O121-O122-O123-O124-O125-O126-O127</f>
        <v>0</v>
      </c>
      <c r="R130" s="127">
        <f>R27-R109-R110-R111-R112-R113-R114-R115-R116-R117-R118-R119-R120-R121-R122-R123-R124-R125-R126-R127</f>
        <v>0</v>
      </c>
      <c r="U130" s="127">
        <f>U27-U109-U110-U111-U112-U113-U114-U115-U116-U117-U118-U119-U120-U121-U122-U123-U124-U125-U126-U127</f>
        <v>0</v>
      </c>
      <c r="X130" s="127">
        <f>X27-X109-X110-X111-X112-X113-X114-X115-X116-X117-X118-X119-X120-X121-X122-X123-X124-X125-X126-X127</f>
        <v>0</v>
      </c>
      <c r="AA130" s="127">
        <f>AA27-AA109-AA110-AA111-AA112-AA113-AA114-AA115-AA116-AA117-AA118-AA119-AA120-AA121-AA122-AA123-AA124-AA125-AA126-AA127</f>
        <v>0</v>
      </c>
    </row>
    <row r="131" spans="1:27" s="58" customFormat="1" x14ac:dyDescent="0.2">
      <c r="A131" s="3"/>
      <c r="B131" s="2"/>
      <c r="C131" s="2"/>
      <c r="D131" s="57"/>
      <c r="F131" s="149"/>
    </row>
    <row r="132" spans="1:27" s="58" customFormat="1" x14ac:dyDescent="0.2">
      <c r="A132" s="3"/>
      <c r="B132" s="2"/>
      <c r="C132" s="2"/>
      <c r="D132" s="57"/>
    </row>
    <row r="133" spans="1:27" s="58" customFormat="1" x14ac:dyDescent="0.2">
      <c r="A133" s="3"/>
      <c r="B133" s="2"/>
      <c r="C133" s="2"/>
      <c r="D133" s="57"/>
    </row>
    <row r="134" spans="1:27" s="58" customFormat="1" x14ac:dyDescent="0.2">
      <c r="A134" s="3"/>
      <c r="B134" s="2"/>
      <c r="C134" s="2"/>
      <c r="D134" s="57"/>
    </row>
    <row r="135" spans="1:27" s="58" customFormat="1" x14ac:dyDescent="0.2">
      <c r="A135" s="3"/>
      <c r="B135" s="2"/>
      <c r="C135" s="2"/>
      <c r="D135" s="57"/>
    </row>
    <row r="136" spans="1:27" s="58" customFormat="1" x14ac:dyDescent="0.2">
      <c r="A136" s="3"/>
      <c r="B136" s="2"/>
      <c r="C136" s="2"/>
      <c r="D136" s="57"/>
    </row>
    <row r="137" spans="1:27" s="58" customFormat="1" x14ac:dyDescent="0.2">
      <c r="A137" s="3"/>
      <c r="B137" s="2"/>
      <c r="C137" s="2"/>
      <c r="D137" s="2"/>
    </row>
    <row r="138" spans="1:27" s="58" customFormat="1" x14ac:dyDescent="0.2">
      <c r="A138" s="3"/>
      <c r="B138" s="2"/>
      <c r="C138" s="2"/>
      <c r="D138" s="2"/>
    </row>
    <row r="139" spans="1:27" s="58" customFormat="1" x14ac:dyDescent="0.2">
      <c r="A139" s="3"/>
      <c r="B139" s="2"/>
      <c r="C139" s="2"/>
      <c r="D139" s="2"/>
    </row>
    <row r="140" spans="1:27" s="58" customFormat="1" x14ac:dyDescent="0.2">
      <c r="A140" s="3"/>
      <c r="B140" s="2"/>
      <c r="C140" s="2"/>
      <c r="D140" s="2"/>
    </row>
    <row r="141" spans="1:27" s="58" customFormat="1" x14ac:dyDescent="0.2">
      <c r="A141" s="3"/>
      <c r="B141" s="2"/>
      <c r="C141" s="2"/>
      <c r="D141" s="2"/>
    </row>
    <row r="142" spans="1:27" s="58" customFormat="1" x14ac:dyDescent="0.2">
      <c r="A142" s="3"/>
      <c r="B142" s="2"/>
      <c r="C142" s="2"/>
      <c r="D142" s="2"/>
    </row>
    <row r="143" spans="1:27" s="58" customFormat="1" x14ac:dyDescent="0.2">
      <c r="A143" s="3"/>
      <c r="B143" s="2"/>
      <c r="C143" s="2"/>
      <c r="D143" s="2"/>
    </row>
    <row r="144" spans="1:27" s="58" customFormat="1" x14ac:dyDescent="0.2">
      <c r="A144" s="3"/>
      <c r="B144" s="2"/>
      <c r="C144" s="2"/>
      <c r="D144" s="2"/>
    </row>
    <row r="145" spans="2:4" s="58" customFormat="1" x14ac:dyDescent="0.2">
      <c r="B145" s="2"/>
      <c r="C145" s="2"/>
      <c r="D145" s="2"/>
    </row>
    <row r="146" spans="2:4" s="58" customFormat="1" x14ac:dyDescent="0.2">
      <c r="B146" s="2"/>
      <c r="C146" s="2"/>
      <c r="D146" s="2"/>
    </row>
    <row r="147" spans="2:4" s="58" customFormat="1" x14ac:dyDescent="0.2">
      <c r="B147" s="2"/>
      <c r="C147" s="2"/>
      <c r="D147" s="2"/>
    </row>
    <row r="148" spans="2:4" s="58" customFormat="1" x14ac:dyDescent="0.2">
      <c r="B148" s="2"/>
      <c r="C148" s="2"/>
      <c r="D148" s="2"/>
    </row>
    <row r="149" spans="2:4" s="58" customFormat="1" x14ac:dyDescent="0.2">
      <c r="B149" s="2"/>
      <c r="C149" s="2"/>
      <c r="D149" s="2"/>
    </row>
    <row r="150" spans="2:4" s="58" customFormat="1" x14ac:dyDescent="0.2">
      <c r="B150" s="2"/>
      <c r="C150" s="2"/>
      <c r="D150" s="2"/>
    </row>
    <row r="151" spans="2:4" s="58" customFormat="1" x14ac:dyDescent="0.2">
      <c r="B151" s="2"/>
      <c r="C151" s="2"/>
      <c r="D151" s="2"/>
    </row>
    <row r="152" spans="2:4" s="58" customFormat="1" x14ac:dyDescent="0.2">
      <c r="B152" s="2"/>
      <c r="C152" s="2"/>
      <c r="D152" s="2"/>
    </row>
    <row r="153" spans="2:4" s="58" customFormat="1" x14ac:dyDescent="0.2">
      <c r="B153" s="2"/>
      <c r="C153" s="2"/>
      <c r="D153" s="2"/>
    </row>
    <row r="154" spans="2:4" s="58" customFormat="1" x14ac:dyDescent="0.2">
      <c r="B154" s="2"/>
      <c r="C154" s="2"/>
      <c r="D154" s="2"/>
    </row>
    <row r="155" spans="2:4" s="58" customFormat="1" x14ac:dyDescent="0.2">
      <c r="B155" s="2"/>
      <c r="C155" s="2"/>
      <c r="D155" s="2"/>
    </row>
    <row r="156" spans="2:4" s="58" customFormat="1" x14ac:dyDescent="0.2">
      <c r="B156" s="2"/>
      <c r="C156" s="2"/>
      <c r="D156" s="2"/>
    </row>
    <row r="157" spans="2:4" s="58" customFormat="1" x14ac:dyDescent="0.2">
      <c r="B157" s="2"/>
      <c r="C157" s="2"/>
      <c r="D157" s="2"/>
    </row>
    <row r="158" spans="2:4" s="58" customFormat="1" x14ac:dyDescent="0.2">
      <c r="B158" s="2"/>
      <c r="C158" s="2"/>
      <c r="D158" s="2"/>
    </row>
    <row r="159" spans="2:4" s="58" customFormat="1" x14ac:dyDescent="0.2">
      <c r="B159" s="2"/>
      <c r="C159" s="2"/>
      <c r="D159" s="2"/>
    </row>
    <row r="160" spans="2:4" s="58" customFormat="1" x14ac:dyDescent="0.2">
      <c r="B160" s="2"/>
      <c r="C160" s="2"/>
      <c r="D160" s="2"/>
    </row>
    <row r="161" spans="2:4" s="58" customFormat="1" x14ac:dyDescent="0.2">
      <c r="B161" s="2"/>
      <c r="C161" s="2"/>
      <c r="D161" s="2"/>
    </row>
    <row r="162" spans="2:4" s="58" customFormat="1" x14ac:dyDescent="0.2">
      <c r="B162" s="2"/>
      <c r="C162" s="2"/>
      <c r="D162" s="2"/>
    </row>
    <row r="163" spans="2:4" s="58" customFormat="1" x14ac:dyDescent="0.2">
      <c r="B163" s="2"/>
      <c r="C163" s="2"/>
      <c r="D163" s="2"/>
    </row>
    <row r="164" spans="2:4" s="58" customFormat="1" x14ac:dyDescent="0.2">
      <c r="B164" s="2"/>
      <c r="C164" s="2"/>
      <c r="D164" s="2"/>
    </row>
  </sheetData>
  <mergeCells count="12">
    <mergeCell ref="AM3:AO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</mergeCells>
  <printOptions horizontalCentered="1"/>
  <pageMargins left="0.19685039370078741" right="3.937007874015748E-2" top="0.19685039370078741" bottom="0.19685039370078741" header="0" footer="0"/>
  <pageSetup paperSize="9" scale="35" firstPageNumber="2" orientation="landscape" cellComments="asDisplayed" r:id="rId1"/>
  <headerFooter alignWithMargins="0"/>
  <colBreaks count="2" manualBreakCount="2">
    <brk id="14" max="100" man="1"/>
    <brk id="29" max="100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A164"/>
  <sheetViews>
    <sheetView zoomScaleNormal="100" workbookViewId="0">
      <pane xSplit="2" ySplit="4" topLeftCell="C100" activePane="bottomRight" state="frozen"/>
      <selection pane="topRight" activeCell="C1" sqref="C1"/>
      <selection pane="bottomLeft" activeCell="A5" sqref="A5"/>
      <selection pane="bottomRight" activeCell="F27" sqref="F27"/>
    </sheetView>
  </sheetViews>
  <sheetFormatPr baseColWidth="10" defaultColWidth="12.42578125" defaultRowHeight="15" x14ac:dyDescent="0.2"/>
  <cols>
    <col min="1" max="1" width="44.7109375" style="3" customWidth="1"/>
    <col min="2" max="2" width="9" style="3" hidden="1" customWidth="1"/>
    <col min="3" max="3" width="16.28515625" style="3" customWidth="1"/>
    <col min="4" max="4" width="16.28515625" style="3" hidden="1" customWidth="1"/>
    <col min="5" max="5" width="12.42578125" style="3" customWidth="1"/>
    <col min="6" max="6" width="14.85546875" style="3" customWidth="1"/>
    <col min="7" max="7" width="15.85546875" style="3" customWidth="1"/>
    <col min="8" max="8" width="14.85546875" style="3" customWidth="1"/>
    <col min="9" max="9" width="15.5703125" style="3" bestFit="1" customWidth="1"/>
    <col min="10" max="10" width="15.85546875" style="3" customWidth="1"/>
    <col min="11" max="11" width="14" style="3" bestFit="1" customWidth="1"/>
    <col min="12" max="12" width="14.85546875" style="3" hidden="1" customWidth="1"/>
    <col min="13" max="13" width="10.85546875" style="3" hidden="1" customWidth="1"/>
    <col min="14" max="14" width="14.85546875" style="3" hidden="1" customWidth="1"/>
    <col min="15" max="15" width="14.85546875" style="3" customWidth="1"/>
    <col min="16" max="16" width="13" style="3" customWidth="1"/>
    <col min="17" max="17" width="14.85546875" style="3" customWidth="1"/>
    <col min="18" max="20" width="13.42578125" style="3" customWidth="1"/>
    <col min="21" max="21" width="13.42578125" style="3" bestFit="1" customWidth="1"/>
    <col min="22" max="22" width="10.85546875" style="3" bestFit="1" customWidth="1"/>
    <col min="23" max="23" width="13.42578125" style="3" bestFit="1" customWidth="1"/>
    <col min="24" max="24" width="12.5703125" style="3" bestFit="1" customWidth="1"/>
    <col min="25" max="25" width="10.85546875" style="3" bestFit="1" customWidth="1"/>
    <col min="26" max="26" width="12.5703125" style="3" bestFit="1" customWidth="1"/>
    <col min="27" max="27" width="11.5703125" style="3" bestFit="1" customWidth="1"/>
    <col min="28" max="28" width="10.85546875" style="3" bestFit="1" customWidth="1"/>
    <col min="29" max="29" width="16" style="3" customWidth="1"/>
    <col min="30" max="32" width="9" style="3" customWidth="1"/>
    <col min="33" max="41" width="9" style="3" hidden="1" customWidth="1"/>
    <col min="42" max="43" width="33" style="3" customWidth="1"/>
    <col min="44" max="235" width="12.42578125" style="3" customWidth="1"/>
    <col min="236" max="16384" width="12.42578125" style="58"/>
  </cols>
  <sheetData>
    <row r="1" spans="1:41" s="58" customFormat="1" ht="30" x14ac:dyDescent="0.4">
      <c r="A1" s="1" t="s">
        <v>39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 t="s">
        <v>176</v>
      </c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s="58" customFormat="1" ht="6.95" customHeight="1" x14ac:dyDescent="0.2">
      <c r="A2" s="3"/>
      <c r="B2" s="2"/>
      <c r="C2" s="2"/>
      <c r="D2" s="2"/>
      <c r="E2" s="3"/>
      <c r="F2" s="3"/>
      <c r="G2" s="3"/>
      <c r="H2" s="3"/>
      <c r="I2" s="3"/>
      <c r="J2" s="123"/>
      <c r="K2" s="3"/>
      <c r="L2" s="3"/>
      <c r="M2" s="3"/>
      <c r="N2" s="3"/>
      <c r="O2" s="3"/>
      <c r="P2" s="123"/>
      <c r="Q2" s="3"/>
      <c r="R2" s="3"/>
      <c r="S2" s="12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s="58" customFormat="1" x14ac:dyDescent="0.2">
      <c r="A3" s="4" t="s">
        <v>0</v>
      </c>
      <c r="B3" s="122"/>
      <c r="C3" s="122"/>
      <c r="D3" s="122"/>
      <c r="E3" s="3"/>
      <c r="F3" s="162" t="s">
        <v>41</v>
      </c>
      <c r="G3" s="162"/>
      <c r="H3" s="162"/>
      <c r="I3" s="163" t="s">
        <v>45</v>
      </c>
      <c r="J3" s="163"/>
      <c r="K3" s="163"/>
      <c r="L3" s="162" t="s">
        <v>172</v>
      </c>
      <c r="M3" s="162"/>
      <c r="N3" s="162"/>
      <c r="O3" s="163" t="s">
        <v>43</v>
      </c>
      <c r="P3" s="163"/>
      <c r="Q3" s="163"/>
      <c r="R3" s="162" t="s">
        <v>44</v>
      </c>
      <c r="S3" s="162"/>
      <c r="T3" s="162"/>
      <c r="U3" s="163" t="s">
        <v>51</v>
      </c>
      <c r="V3" s="163"/>
      <c r="W3" s="163"/>
      <c r="X3" s="162" t="s">
        <v>161</v>
      </c>
      <c r="Y3" s="162"/>
      <c r="Z3" s="162"/>
      <c r="AA3" s="163" t="s">
        <v>48</v>
      </c>
      <c r="AB3" s="163"/>
      <c r="AC3" s="163"/>
      <c r="AD3" s="162" t="s">
        <v>49</v>
      </c>
      <c r="AE3" s="162"/>
      <c r="AF3" s="162"/>
      <c r="AG3" s="163"/>
      <c r="AH3" s="163"/>
      <c r="AI3" s="163"/>
      <c r="AJ3" s="162"/>
      <c r="AK3" s="162"/>
      <c r="AL3" s="162"/>
      <c r="AM3" s="163"/>
      <c r="AN3" s="163"/>
      <c r="AO3" s="163"/>
    </row>
    <row r="4" spans="1:41" s="58" customFormat="1" x14ac:dyDescent="0.2">
      <c r="A4" s="6" t="s">
        <v>1</v>
      </c>
      <c r="B4" s="122"/>
      <c r="C4" s="7">
        <v>2018</v>
      </c>
      <c r="D4" s="8" t="s">
        <v>2</v>
      </c>
      <c r="E4" s="3"/>
      <c r="F4" s="62">
        <f>$C$4</f>
        <v>2018</v>
      </c>
      <c r="G4" s="63" t="s">
        <v>38</v>
      </c>
      <c r="H4" s="63" t="s">
        <v>40</v>
      </c>
      <c r="I4" s="61">
        <f>F4</f>
        <v>2018</v>
      </c>
      <c r="J4" s="60" t="s">
        <v>38</v>
      </c>
      <c r="K4" s="60" t="s">
        <v>40</v>
      </c>
      <c r="L4" s="62">
        <f>F4</f>
        <v>2018</v>
      </c>
      <c r="M4" s="63" t="s">
        <v>38</v>
      </c>
      <c r="N4" s="63" t="s">
        <v>40</v>
      </c>
      <c r="O4" s="61">
        <f>F4</f>
        <v>2018</v>
      </c>
      <c r="P4" s="60" t="s">
        <v>38</v>
      </c>
      <c r="Q4" s="60" t="s">
        <v>40</v>
      </c>
      <c r="R4" s="62">
        <f>F4</f>
        <v>2018</v>
      </c>
      <c r="S4" s="63" t="s">
        <v>38</v>
      </c>
      <c r="T4" s="63" t="s">
        <v>40</v>
      </c>
      <c r="U4" s="61">
        <f>F4</f>
        <v>2018</v>
      </c>
      <c r="V4" s="60" t="s">
        <v>38</v>
      </c>
      <c r="W4" s="60" t="s">
        <v>40</v>
      </c>
      <c r="X4" s="62">
        <f>F4</f>
        <v>2018</v>
      </c>
      <c r="Y4" s="63" t="s">
        <v>38</v>
      </c>
      <c r="Z4" s="63" t="s">
        <v>40</v>
      </c>
      <c r="AA4" s="61">
        <f>F4</f>
        <v>2018</v>
      </c>
      <c r="AB4" s="60" t="s">
        <v>38</v>
      </c>
      <c r="AC4" s="60" t="s">
        <v>40</v>
      </c>
      <c r="AD4" s="62">
        <f>F4</f>
        <v>2018</v>
      </c>
      <c r="AE4" s="63" t="s">
        <v>38</v>
      </c>
      <c r="AF4" s="63" t="s">
        <v>40</v>
      </c>
      <c r="AG4" s="61"/>
      <c r="AH4" s="60" t="s">
        <v>38</v>
      </c>
      <c r="AI4" s="60" t="s">
        <v>40</v>
      </c>
      <c r="AJ4" s="62"/>
      <c r="AK4" s="63" t="s">
        <v>38</v>
      </c>
      <c r="AL4" s="63" t="s">
        <v>40</v>
      </c>
      <c r="AM4" s="61"/>
      <c r="AN4" s="60" t="s">
        <v>38</v>
      </c>
      <c r="AO4" s="60" t="s">
        <v>40</v>
      </c>
    </row>
    <row r="5" spans="1:41" s="58" customFormat="1" ht="17.100000000000001" customHeight="1" x14ac:dyDescent="0.25">
      <c r="A5" s="9" t="s">
        <v>3</v>
      </c>
      <c r="B5" s="10" t="s">
        <v>4</v>
      </c>
      <c r="C5" s="11"/>
      <c r="D5" s="11" t="s">
        <v>2</v>
      </c>
      <c r="E5" s="3"/>
      <c r="F5" s="65"/>
      <c r="G5" s="65"/>
      <c r="H5" s="65"/>
      <c r="I5" s="66"/>
      <c r="J5" s="66"/>
      <c r="K5" s="66"/>
      <c r="L5" s="65"/>
      <c r="M5" s="65"/>
      <c r="N5" s="65"/>
      <c r="O5" s="66"/>
      <c r="P5" s="66"/>
      <c r="Q5" s="66"/>
      <c r="R5" s="65"/>
      <c r="S5" s="65"/>
      <c r="T5" s="65"/>
      <c r="U5" s="66"/>
      <c r="V5" s="66"/>
      <c r="W5" s="66"/>
      <c r="X5" s="65"/>
      <c r="Y5" s="65"/>
      <c r="Z5" s="65"/>
      <c r="AA5" s="66"/>
      <c r="AB5" s="66"/>
      <c r="AC5" s="66"/>
      <c r="AD5" s="65"/>
      <c r="AE5" s="65"/>
      <c r="AF5" s="65"/>
      <c r="AG5" s="66"/>
      <c r="AH5" s="66"/>
      <c r="AI5" s="66"/>
      <c r="AJ5" s="65"/>
      <c r="AK5" s="65"/>
      <c r="AL5" s="65"/>
      <c r="AM5" s="66"/>
      <c r="AN5" s="66"/>
      <c r="AO5" s="66"/>
    </row>
    <row r="6" spans="1:41" s="58" customFormat="1" ht="9" customHeight="1" x14ac:dyDescent="0.2">
      <c r="A6" s="12"/>
      <c r="B6" s="13"/>
      <c r="C6" s="12"/>
      <c r="D6" s="12"/>
      <c r="E6" s="3"/>
      <c r="F6" s="65"/>
      <c r="G6" s="65"/>
      <c r="H6" s="65"/>
      <c r="I6" s="66"/>
      <c r="J6" s="66"/>
      <c r="K6" s="66"/>
      <c r="L6" s="65"/>
      <c r="M6" s="65"/>
      <c r="N6" s="65"/>
      <c r="O6" s="66"/>
      <c r="P6" s="66"/>
      <c r="Q6" s="66"/>
      <c r="R6" s="65"/>
      <c r="S6" s="65"/>
      <c r="T6" s="65"/>
      <c r="U6" s="66"/>
      <c r="V6" s="66"/>
      <c r="W6" s="66"/>
      <c r="X6" s="65"/>
      <c r="Y6" s="65"/>
      <c r="Z6" s="65"/>
      <c r="AA6" s="66"/>
      <c r="AB6" s="66"/>
      <c r="AC6" s="66"/>
      <c r="AD6" s="65"/>
      <c r="AE6" s="65"/>
      <c r="AF6" s="65"/>
      <c r="AG6" s="66"/>
      <c r="AH6" s="66"/>
      <c r="AI6" s="66"/>
      <c r="AJ6" s="65"/>
      <c r="AK6" s="65"/>
      <c r="AL6" s="65"/>
      <c r="AM6" s="66"/>
      <c r="AN6" s="66"/>
      <c r="AO6" s="66"/>
    </row>
    <row r="7" spans="1:41" s="58" customFormat="1" ht="17.25" customHeight="1" x14ac:dyDescent="0.2">
      <c r="A7" s="64" t="s">
        <v>82</v>
      </c>
      <c r="B7" s="13"/>
      <c r="C7" s="14">
        <f>H7+K7+N7+Q7+T7+W7+Z7+AC7+AF7+AI7+AL7</f>
        <v>238751</v>
      </c>
      <c r="D7" s="14">
        <v>60000</v>
      </c>
      <c r="E7" s="3"/>
      <c r="F7" s="132">
        <v>0</v>
      </c>
      <c r="G7" s="65"/>
      <c r="H7" s="65">
        <f t="shared" ref="H7:H41" si="0">F7+G7</f>
        <v>0</v>
      </c>
      <c r="I7" s="132">
        <v>65253</v>
      </c>
      <c r="J7" s="66"/>
      <c r="K7" s="66">
        <f t="shared" ref="K7:K41" si="1">I7+J7</f>
        <v>65253</v>
      </c>
      <c r="L7" s="132"/>
      <c r="M7" s="65"/>
      <c r="N7" s="65">
        <f t="shared" ref="N7:N41" si="2">L7+M7</f>
        <v>0</v>
      </c>
      <c r="O7" s="132">
        <v>44685</v>
      </c>
      <c r="P7" s="66"/>
      <c r="Q7" s="66">
        <f t="shared" ref="Q7:Q41" si="3">O7+P7</f>
        <v>44685</v>
      </c>
      <c r="R7" s="132">
        <v>128813</v>
      </c>
      <c r="S7" s="65"/>
      <c r="T7" s="65">
        <f t="shared" ref="T7:T41" si="4">R7+S7</f>
        <v>128813</v>
      </c>
      <c r="U7" s="66"/>
      <c r="V7" s="66"/>
      <c r="W7" s="66">
        <f t="shared" ref="W7:W41" si="5">U7+V7</f>
        <v>0</v>
      </c>
      <c r="X7" s="65"/>
      <c r="Y7" s="65"/>
      <c r="Z7" s="65">
        <f t="shared" ref="Z7:Z41" si="6">X7+Y7</f>
        <v>0</v>
      </c>
      <c r="AA7" s="66"/>
      <c r="AB7" s="66"/>
      <c r="AC7" s="66">
        <f t="shared" ref="AC7:AC41" si="7">AA7+AB7</f>
        <v>0</v>
      </c>
      <c r="AD7" s="65"/>
      <c r="AE7" s="65"/>
      <c r="AF7" s="65">
        <f t="shared" ref="AF7:AF41" si="8">AD7+AE7</f>
        <v>0</v>
      </c>
      <c r="AG7" s="66"/>
      <c r="AH7" s="66"/>
      <c r="AI7" s="66">
        <f t="shared" ref="AI7:AI41" si="9">AG7+AH7</f>
        <v>0</v>
      </c>
      <c r="AJ7" s="65"/>
      <c r="AK7" s="65"/>
      <c r="AL7" s="65">
        <f t="shared" ref="AL7:AL41" si="10">AJ7+AK7</f>
        <v>0</v>
      </c>
      <c r="AM7" s="66"/>
      <c r="AN7" s="66"/>
      <c r="AO7" s="66">
        <f t="shared" ref="AO7" si="11">AM7+AN7</f>
        <v>0</v>
      </c>
    </row>
    <row r="8" spans="1:41" s="58" customFormat="1" ht="17.25" customHeight="1" x14ac:dyDescent="0.2">
      <c r="A8" s="64" t="s">
        <v>96</v>
      </c>
      <c r="B8" s="13"/>
      <c r="C8" s="14">
        <f t="shared" ref="C8:C10" si="12">H8+K8+N8+Q8+T8+W8+Z8+AC8+AF8+AI8+AL8</f>
        <v>155982</v>
      </c>
      <c r="D8" s="14"/>
      <c r="E8" s="3"/>
      <c r="F8" s="132"/>
      <c r="G8" s="65"/>
      <c r="H8" s="65">
        <f t="shared" si="0"/>
        <v>0</v>
      </c>
      <c r="I8" s="132">
        <v>60487</v>
      </c>
      <c r="J8" s="66"/>
      <c r="K8" s="66">
        <f t="shared" si="1"/>
        <v>60487</v>
      </c>
      <c r="L8" s="132"/>
      <c r="M8" s="65"/>
      <c r="N8" s="65">
        <f>L8+M8</f>
        <v>0</v>
      </c>
      <c r="O8" s="132">
        <v>0</v>
      </c>
      <c r="P8" s="66"/>
      <c r="Q8" s="66">
        <f t="shared" si="3"/>
        <v>0</v>
      </c>
      <c r="R8" s="132">
        <v>95495</v>
      </c>
      <c r="S8" s="65"/>
      <c r="T8" s="65">
        <f t="shared" si="4"/>
        <v>95495</v>
      </c>
      <c r="U8" s="132"/>
      <c r="V8" s="66"/>
      <c r="W8" s="66">
        <f t="shared" si="5"/>
        <v>0</v>
      </c>
      <c r="X8" s="132"/>
      <c r="Y8" s="65"/>
      <c r="Z8" s="65">
        <f t="shared" si="6"/>
        <v>0</v>
      </c>
      <c r="AA8" s="132"/>
      <c r="AB8" s="66"/>
      <c r="AC8" s="66">
        <f t="shared" si="7"/>
        <v>0</v>
      </c>
      <c r="AD8" s="65"/>
      <c r="AE8" s="65"/>
      <c r="AF8" s="65"/>
      <c r="AG8" s="66"/>
      <c r="AH8" s="66"/>
      <c r="AI8" s="66"/>
      <c r="AJ8" s="65"/>
      <c r="AK8" s="65"/>
      <c r="AL8" s="65"/>
      <c r="AM8" s="66"/>
      <c r="AN8" s="66"/>
      <c r="AO8" s="66"/>
    </row>
    <row r="9" spans="1:41" s="58" customFormat="1" ht="17.25" customHeight="1" x14ac:dyDescent="0.2">
      <c r="A9" s="64" t="s">
        <v>84</v>
      </c>
      <c r="B9" s="13"/>
      <c r="C9" s="14">
        <f t="shared" si="12"/>
        <v>97348</v>
      </c>
      <c r="D9" s="14"/>
      <c r="E9" s="3"/>
      <c r="F9" s="132"/>
      <c r="G9" s="65"/>
      <c r="H9" s="65">
        <f t="shared" si="0"/>
        <v>0</v>
      </c>
      <c r="I9" s="132">
        <v>97348</v>
      </c>
      <c r="J9" s="66"/>
      <c r="K9" s="66">
        <f t="shared" si="1"/>
        <v>97348</v>
      </c>
      <c r="L9" s="132"/>
      <c r="M9" s="65"/>
      <c r="N9" s="65">
        <f>L9+M9</f>
        <v>0</v>
      </c>
      <c r="O9" s="132"/>
      <c r="P9" s="66"/>
      <c r="Q9" s="66">
        <f t="shared" si="3"/>
        <v>0</v>
      </c>
      <c r="R9" s="132"/>
      <c r="S9" s="65"/>
      <c r="T9" s="65">
        <f t="shared" si="4"/>
        <v>0</v>
      </c>
      <c r="U9" s="132">
        <v>0</v>
      </c>
      <c r="V9" s="66"/>
      <c r="W9" s="66">
        <f t="shared" si="5"/>
        <v>0</v>
      </c>
      <c r="X9" s="132"/>
      <c r="Y9" s="65"/>
      <c r="Z9" s="65">
        <f t="shared" si="6"/>
        <v>0</v>
      </c>
      <c r="AA9" s="132"/>
      <c r="AB9" s="66"/>
      <c r="AC9" s="66">
        <f t="shared" si="7"/>
        <v>0</v>
      </c>
      <c r="AD9" s="65"/>
      <c r="AE9" s="65"/>
      <c r="AF9" s="65"/>
      <c r="AG9" s="66"/>
      <c r="AH9" s="66"/>
      <c r="AI9" s="66"/>
      <c r="AJ9" s="65"/>
      <c r="AK9" s="65"/>
      <c r="AL9" s="65"/>
      <c r="AM9" s="66"/>
      <c r="AN9" s="66"/>
      <c r="AO9" s="66"/>
    </row>
    <row r="10" spans="1:41" s="58" customFormat="1" ht="17.25" customHeight="1" x14ac:dyDescent="0.2">
      <c r="A10" s="64" t="s">
        <v>86</v>
      </c>
      <c r="B10" s="13"/>
      <c r="C10" s="14">
        <f t="shared" si="12"/>
        <v>973842</v>
      </c>
      <c r="D10" s="14"/>
      <c r="E10" s="3"/>
      <c r="F10" s="132"/>
      <c r="G10" s="65"/>
      <c r="H10" s="65">
        <f t="shared" si="0"/>
        <v>0</v>
      </c>
      <c r="I10" s="132">
        <v>0</v>
      </c>
      <c r="J10" s="66"/>
      <c r="K10" s="66">
        <f t="shared" si="1"/>
        <v>0</v>
      </c>
      <c r="L10" s="132"/>
      <c r="M10" s="65"/>
      <c r="N10" s="65">
        <f>L10+M10</f>
        <v>0</v>
      </c>
      <c r="O10" s="132">
        <v>169477</v>
      </c>
      <c r="P10" s="66"/>
      <c r="Q10" s="66">
        <f t="shared" si="3"/>
        <v>169477</v>
      </c>
      <c r="R10" s="132">
        <v>804365</v>
      </c>
      <c r="S10" s="65"/>
      <c r="T10" s="65">
        <f t="shared" si="4"/>
        <v>804365</v>
      </c>
      <c r="U10" s="132">
        <v>0</v>
      </c>
      <c r="V10" s="66"/>
      <c r="W10" s="66">
        <f t="shared" si="5"/>
        <v>0</v>
      </c>
      <c r="X10" s="132"/>
      <c r="Y10" s="65"/>
      <c r="Z10" s="65">
        <f t="shared" si="6"/>
        <v>0</v>
      </c>
      <c r="AA10" s="132"/>
      <c r="AB10" s="66"/>
      <c r="AC10" s="66">
        <f t="shared" si="7"/>
        <v>0</v>
      </c>
      <c r="AD10" s="65"/>
      <c r="AE10" s="65"/>
      <c r="AF10" s="65"/>
      <c r="AG10" s="66"/>
      <c r="AH10" s="66"/>
      <c r="AI10" s="66"/>
      <c r="AJ10" s="65"/>
      <c r="AK10" s="65"/>
      <c r="AL10" s="65"/>
      <c r="AM10" s="66"/>
      <c r="AN10" s="66"/>
      <c r="AO10" s="66"/>
    </row>
    <row r="11" spans="1:41" s="58" customFormat="1" ht="17.25" customHeight="1" x14ac:dyDescent="0.2">
      <c r="A11" s="64" t="s">
        <v>88</v>
      </c>
      <c r="B11" s="13"/>
      <c r="C11" s="14">
        <f t="shared" ref="C11:C21" si="13">H11+K11+N11+Q11+T11+W11+Z11+AC11+AF11+AI11+AL11+AO11</f>
        <v>189003</v>
      </c>
      <c r="D11" s="14"/>
      <c r="E11" s="3"/>
      <c r="F11" s="132">
        <v>189003</v>
      </c>
      <c r="G11" s="65"/>
      <c r="H11" s="65">
        <f t="shared" si="0"/>
        <v>189003</v>
      </c>
      <c r="I11" s="132"/>
      <c r="J11" s="66"/>
      <c r="K11" s="66">
        <f t="shared" si="1"/>
        <v>0</v>
      </c>
      <c r="L11" s="132"/>
      <c r="M11" s="65"/>
      <c r="N11" s="65">
        <f t="shared" si="2"/>
        <v>0</v>
      </c>
      <c r="O11" s="132"/>
      <c r="P11" s="66"/>
      <c r="Q11" s="66">
        <f t="shared" si="3"/>
        <v>0</v>
      </c>
      <c r="R11" s="132"/>
      <c r="S11" s="65"/>
      <c r="T11" s="65">
        <f t="shared" si="4"/>
        <v>0</v>
      </c>
      <c r="U11" s="132"/>
      <c r="V11" s="66"/>
      <c r="W11" s="66">
        <f t="shared" si="5"/>
        <v>0</v>
      </c>
      <c r="X11" s="132"/>
      <c r="Y11" s="65"/>
      <c r="Z11" s="65">
        <f t="shared" si="6"/>
        <v>0</v>
      </c>
      <c r="AA11" s="132"/>
      <c r="AB11" s="66"/>
      <c r="AC11" s="66">
        <f t="shared" si="7"/>
        <v>0</v>
      </c>
      <c r="AD11" s="65"/>
      <c r="AE11" s="65"/>
      <c r="AF11" s="65">
        <f t="shared" si="8"/>
        <v>0</v>
      </c>
      <c r="AG11" s="66"/>
      <c r="AH11" s="66"/>
      <c r="AI11" s="66">
        <f t="shared" si="9"/>
        <v>0</v>
      </c>
      <c r="AJ11" s="65"/>
      <c r="AK11" s="65"/>
      <c r="AL11" s="65">
        <f t="shared" si="10"/>
        <v>0</v>
      </c>
      <c r="AM11" s="66"/>
      <c r="AN11" s="66"/>
      <c r="AO11" s="66">
        <f t="shared" ref="AO11" si="14">AM11+AN11</f>
        <v>0</v>
      </c>
    </row>
    <row r="12" spans="1:41" s="58" customFormat="1" ht="17.25" customHeight="1" x14ac:dyDescent="0.2">
      <c r="A12" s="64" t="s">
        <v>58</v>
      </c>
      <c r="B12" s="13"/>
      <c r="C12" s="14">
        <f t="shared" si="13"/>
        <v>182275</v>
      </c>
      <c r="D12" s="14"/>
      <c r="E12" s="3"/>
      <c r="F12" s="132">
        <v>182275</v>
      </c>
      <c r="G12" s="65"/>
      <c r="H12" s="65">
        <f t="shared" si="0"/>
        <v>182275</v>
      </c>
      <c r="I12" s="132"/>
      <c r="J12" s="66"/>
      <c r="K12" s="66">
        <f t="shared" si="1"/>
        <v>0</v>
      </c>
      <c r="L12" s="132"/>
      <c r="M12" s="65"/>
      <c r="N12" s="65">
        <f>L12+M12</f>
        <v>0</v>
      </c>
      <c r="O12" s="132"/>
      <c r="P12" s="66"/>
      <c r="Q12" s="66">
        <f t="shared" si="3"/>
        <v>0</v>
      </c>
      <c r="R12" s="132"/>
      <c r="S12" s="65"/>
      <c r="T12" s="65">
        <f t="shared" si="4"/>
        <v>0</v>
      </c>
      <c r="U12" s="132"/>
      <c r="V12" s="66"/>
      <c r="W12" s="66">
        <f t="shared" si="5"/>
        <v>0</v>
      </c>
      <c r="X12" s="132"/>
      <c r="Y12" s="65"/>
      <c r="Z12" s="65">
        <f t="shared" si="6"/>
        <v>0</v>
      </c>
      <c r="AA12" s="132"/>
      <c r="AB12" s="66"/>
      <c r="AC12" s="66">
        <f t="shared" si="7"/>
        <v>0</v>
      </c>
      <c r="AD12" s="65"/>
      <c r="AE12" s="65"/>
      <c r="AF12" s="65"/>
      <c r="AG12" s="66"/>
      <c r="AH12" s="66"/>
      <c r="AI12" s="66"/>
      <c r="AJ12" s="65"/>
      <c r="AK12" s="65"/>
      <c r="AL12" s="65"/>
      <c r="AM12" s="66"/>
      <c r="AN12" s="66"/>
      <c r="AO12" s="66"/>
    </row>
    <row r="13" spans="1:41" s="58" customFormat="1" ht="17.25" customHeight="1" x14ac:dyDescent="0.2">
      <c r="A13" s="64" t="s">
        <v>59</v>
      </c>
      <c r="B13" s="13"/>
      <c r="C13" s="14">
        <f t="shared" si="13"/>
        <v>26000</v>
      </c>
      <c r="D13" s="14"/>
      <c r="E13" s="3"/>
      <c r="F13" s="132">
        <v>244000</v>
      </c>
      <c r="G13" s="120">
        <f>-140000-100000-4000</f>
        <v>-244000</v>
      </c>
      <c r="H13" s="65">
        <f t="shared" si="0"/>
        <v>0</v>
      </c>
      <c r="I13" s="132">
        <v>41540</v>
      </c>
      <c r="J13" s="120">
        <v>-41540</v>
      </c>
      <c r="K13" s="66">
        <f t="shared" si="1"/>
        <v>0</v>
      </c>
      <c r="L13" s="132"/>
      <c r="M13" s="65"/>
      <c r="N13" s="65">
        <f t="shared" si="2"/>
        <v>0</v>
      </c>
      <c r="O13" s="133">
        <f>312000+76260</f>
        <v>388260</v>
      </c>
      <c r="P13" s="120">
        <f>-312000-76260</f>
        <v>-388260</v>
      </c>
      <c r="Q13" s="66">
        <f t="shared" si="3"/>
        <v>0</v>
      </c>
      <c r="R13" s="132"/>
      <c r="S13" s="65"/>
      <c r="T13" s="65">
        <f t="shared" si="4"/>
        <v>0</v>
      </c>
      <c r="U13" s="132">
        <f>14260+16000</f>
        <v>30260</v>
      </c>
      <c r="V13" s="120">
        <v>-14260</v>
      </c>
      <c r="W13" s="66">
        <f t="shared" si="5"/>
        <v>16000</v>
      </c>
      <c r="X13" s="132"/>
      <c r="Y13" s="65"/>
      <c r="Z13" s="65">
        <f t="shared" si="6"/>
        <v>0</v>
      </c>
      <c r="AA13" s="132">
        <f>10000+7130</f>
        <v>17130</v>
      </c>
      <c r="AB13" s="120">
        <v>-7130</v>
      </c>
      <c r="AC13" s="66">
        <f t="shared" si="7"/>
        <v>10000</v>
      </c>
      <c r="AD13" s="65">
        <v>930</v>
      </c>
      <c r="AE13" s="120">
        <v>-930</v>
      </c>
      <c r="AF13" s="65">
        <f t="shared" si="8"/>
        <v>0</v>
      </c>
      <c r="AG13" s="66"/>
      <c r="AH13" s="66"/>
      <c r="AI13" s="66">
        <f t="shared" si="9"/>
        <v>0</v>
      </c>
      <c r="AJ13" s="65"/>
      <c r="AK13" s="65"/>
      <c r="AL13" s="65">
        <f t="shared" si="10"/>
        <v>0</v>
      </c>
      <c r="AM13" s="66"/>
      <c r="AN13" s="66"/>
      <c r="AO13" s="66">
        <f t="shared" ref="AO13:AO21" si="15">AM13+AN13</f>
        <v>0</v>
      </c>
    </row>
    <row r="14" spans="1:41" s="58" customFormat="1" ht="17.25" customHeight="1" x14ac:dyDescent="0.2">
      <c r="A14" s="64" t="s">
        <v>87</v>
      </c>
      <c r="B14" s="13"/>
      <c r="C14" s="14">
        <f t="shared" si="13"/>
        <v>30652</v>
      </c>
      <c r="D14" s="14">
        <v>80000</v>
      </c>
      <c r="E14" s="3"/>
      <c r="F14" s="132">
        <v>30652</v>
      </c>
      <c r="G14" s="65"/>
      <c r="H14" s="65">
        <f t="shared" si="0"/>
        <v>30652</v>
      </c>
      <c r="I14" s="132"/>
      <c r="J14" s="66"/>
      <c r="K14" s="66">
        <f t="shared" si="1"/>
        <v>0</v>
      </c>
      <c r="L14" s="132"/>
      <c r="M14" s="65"/>
      <c r="N14" s="65">
        <f t="shared" si="2"/>
        <v>0</v>
      </c>
      <c r="O14" s="132"/>
      <c r="P14" s="66"/>
      <c r="Q14" s="66">
        <f t="shared" si="3"/>
        <v>0</v>
      </c>
      <c r="R14" s="132"/>
      <c r="S14" s="65"/>
      <c r="T14" s="65">
        <f t="shared" si="4"/>
        <v>0</v>
      </c>
      <c r="U14" s="132"/>
      <c r="V14" s="66"/>
      <c r="W14" s="66">
        <f t="shared" si="5"/>
        <v>0</v>
      </c>
      <c r="X14" s="132"/>
      <c r="Y14" s="65"/>
      <c r="Z14" s="65">
        <f t="shared" si="6"/>
        <v>0</v>
      </c>
      <c r="AA14" s="132"/>
      <c r="AB14" s="66"/>
      <c r="AC14" s="66">
        <f t="shared" si="7"/>
        <v>0</v>
      </c>
      <c r="AD14" s="65"/>
      <c r="AE14" s="65"/>
      <c r="AF14" s="65">
        <f t="shared" si="8"/>
        <v>0</v>
      </c>
      <c r="AG14" s="66"/>
      <c r="AH14" s="66"/>
      <c r="AI14" s="66">
        <f t="shared" si="9"/>
        <v>0</v>
      </c>
      <c r="AJ14" s="65"/>
      <c r="AK14" s="65"/>
      <c r="AL14" s="65">
        <f t="shared" si="10"/>
        <v>0</v>
      </c>
      <c r="AM14" s="66"/>
      <c r="AN14" s="66"/>
      <c r="AO14" s="66">
        <f t="shared" si="15"/>
        <v>0</v>
      </c>
    </row>
    <row r="15" spans="1:41" s="58" customFormat="1" ht="17.25" customHeight="1" x14ac:dyDescent="0.2">
      <c r="A15" s="64" t="s">
        <v>53</v>
      </c>
      <c r="B15" s="13"/>
      <c r="C15" s="14">
        <f t="shared" si="13"/>
        <v>502820</v>
      </c>
      <c r="D15" s="14">
        <v>45000</v>
      </c>
      <c r="E15" s="3"/>
      <c r="F15" s="132">
        <v>29850</v>
      </c>
      <c r="G15" s="65"/>
      <c r="H15" s="65">
        <f t="shared" si="0"/>
        <v>29850</v>
      </c>
      <c r="I15" s="132">
        <v>117255</v>
      </c>
      <c r="J15" s="66"/>
      <c r="K15" s="66">
        <f t="shared" si="1"/>
        <v>117255</v>
      </c>
      <c r="L15" s="132"/>
      <c r="M15" s="65"/>
      <c r="N15" s="65">
        <f t="shared" si="2"/>
        <v>0</v>
      </c>
      <c r="O15" s="132">
        <v>317065</v>
      </c>
      <c r="P15" s="66"/>
      <c r="Q15" s="66">
        <f t="shared" si="3"/>
        <v>317065</v>
      </c>
      <c r="R15" s="132"/>
      <c r="S15" s="65"/>
      <c r="T15" s="65">
        <f t="shared" si="4"/>
        <v>0</v>
      </c>
      <c r="U15" s="132">
        <v>15650</v>
      </c>
      <c r="V15" s="66"/>
      <c r="W15" s="66">
        <f t="shared" si="5"/>
        <v>15650</v>
      </c>
      <c r="X15" s="132">
        <v>20700</v>
      </c>
      <c r="Y15" s="65"/>
      <c r="Z15" s="65">
        <f t="shared" si="6"/>
        <v>20700</v>
      </c>
      <c r="AA15" s="132">
        <v>800</v>
      </c>
      <c r="AB15" s="66"/>
      <c r="AC15" s="66">
        <f t="shared" si="7"/>
        <v>800</v>
      </c>
      <c r="AD15" s="65">
        <v>1500</v>
      </c>
      <c r="AE15" s="65"/>
      <c r="AF15" s="65">
        <f t="shared" si="8"/>
        <v>1500</v>
      </c>
      <c r="AG15" s="66"/>
      <c r="AH15" s="66"/>
      <c r="AI15" s="66">
        <f t="shared" si="9"/>
        <v>0</v>
      </c>
      <c r="AJ15" s="65"/>
      <c r="AK15" s="65"/>
      <c r="AL15" s="65">
        <f t="shared" si="10"/>
        <v>0</v>
      </c>
      <c r="AM15" s="66"/>
      <c r="AN15" s="66"/>
      <c r="AO15" s="66">
        <f t="shared" si="15"/>
        <v>0</v>
      </c>
    </row>
    <row r="16" spans="1:41" s="58" customFormat="1" ht="17.25" customHeight="1" x14ac:dyDescent="0.2">
      <c r="A16" s="64" t="s">
        <v>54</v>
      </c>
      <c r="B16" s="13"/>
      <c r="C16" s="14">
        <f t="shared" si="13"/>
        <v>733456</v>
      </c>
      <c r="D16" s="14">
        <v>3000</v>
      </c>
      <c r="E16" s="3"/>
      <c r="F16" s="132">
        <f>539235+283538</f>
        <v>822773</v>
      </c>
      <c r="G16" s="120">
        <v>-100000</v>
      </c>
      <c r="H16" s="65">
        <f t="shared" si="0"/>
        <v>722773</v>
      </c>
      <c r="I16" s="132">
        <v>3500</v>
      </c>
      <c r="J16" s="66"/>
      <c r="K16" s="66">
        <f t="shared" si="1"/>
        <v>3500</v>
      </c>
      <c r="L16" s="132"/>
      <c r="M16" s="65"/>
      <c r="N16" s="65">
        <f t="shared" si="2"/>
        <v>0</v>
      </c>
      <c r="O16" s="132">
        <v>1183</v>
      </c>
      <c r="P16" s="66"/>
      <c r="Q16" s="66">
        <f t="shared" si="3"/>
        <v>1183</v>
      </c>
      <c r="R16" s="132">
        <v>6000</v>
      </c>
      <c r="S16" s="65"/>
      <c r="T16" s="65">
        <f t="shared" si="4"/>
        <v>6000</v>
      </c>
      <c r="U16" s="132"/>
      <c r="V16" s="66"/>
      <c r="W16" s="66">
        <f t="shared" si="5"/>
        <v>0</v>
      </c>
      <c r="X16" s="132"/>
      <c r="Y16" s="65"/>
      <c r="Z16" s="65">
        <f t="shared" si="6"/>
        <v>0</v>
      </c>
      <c r="AA16" s="132"/>
      <c r="AB16" s="66"/>
      <c r="AC16" s="66">
        <f t="shared" si="7"/>
        <v>0</v>
      </c>
      <c r="AD16" s="65"/>
      <c r="AE16" s="65"/>
      <c r="AF16" s="65">
        <f t="shared" si="8"/>
        <v>0</v>
      </c>
      <c r="AG16" s="66"/>
      <c r="AH16" s="66"/>
      <c r="AI16" s="66">
        <f t="shared" si="9"/>
        <v>0</v>
      </c>
      <c r="AJ16" s="65"/>
      <c r="AK16" s="65"/>
      <c r="AL16" s="65">
        <f t="shared" si="10"/>
        <v>0</v>
      </c>
      <c r="AM16" s="66"/>
      <c r="AN16" s="66"/>
      <c r="AO16" s="66">
        <f t="shared" si="15"/>
        <v>0</v>
      </c>
    </row>
    <row r="17" spans="1:41" s="58" customFormat="1" ht="17.25" customHeight="1" x14ac:dyDescent="0.2">
      <c r="A17" s="64" t="s">
        <v>85</v>
      </c>
      <c r="B17" s="13"/>
      <c r="C17" s="14">
        <f t="shared" si="13"/>
        <v>0</v>
      </c>
      <c r="D17" s="14">
        <v>32000</v>
      </c>
      <c r="E17" s="3"/>
      <c r="F17" s="132"/>
      <c r="G17" s="65"/>
      <c r="H17" s="65">
        <f t="shared" si="0"/>
        <v>0</v>
      </c>
      <c r="I17" s="132"/>
      <c r="J17" s="66"/>
      <c r="K17" s="66">
        <f t="shared" si="1"/>
        <v>0</v>
      </c>
      <c r="L17" s="132"/>
      <c r="M17" s="65"/>
      <c r="N17" s="65">
        <f t="shared" si="2"/>
        <v>0</v>
      </c>
      <c r="O17" s="132">
        <v>0</v>
      </c>
      <c r="P17" s="66"/>
      <c r="Q17" s="66">
        <f t="shared" si="3"/>
        <v>0</v>
      </c>
      <c r="R17" s="132"/>
      <c r="S17" s="65"/>
      <c r="T17" s="65">
        <f t="shared" si="4"/>
        <v>0</v>
      </c>
      <c r="U17" s="132"/>
      <c r="V17" s="66"/>
      <c r="W17" s="66">
        <f t="shared" si="5"/>
        <v>0</v>
      </c>
      <c r="X17" s="132"/>
      <c r="Y17" s="65"/>
      <c r="Z17" s="65">
        <f t="shared" si="6"/>
        <v>0</v>
      </c>
      <c r="AA17" s="132"/>
      <c r="AB17" s="66"/>
      <c r="AC17" s="66">
        <f t="shared" si="7"/>
        <v>0</v>
      </c>
      <c r="AD17" s="65"/>
      <c r="AE17" s="65"/>
      <c r="AF17" s="65">
        <f t="shared" si="8"/>
        <v>0</v>
      </c>
      <c r="AG17" s="66"/>
      <c r="AH17" s="66"/>
      <c r="AI17" s="66">
        <f t="shared" si="9"/>
        <v>0</v>
      </c>
      <c r="AJ17" s="65"/>
      <c r="AK17" s="65"/>
      <c r="AL17" s="65">
        <f t="shared" si="10"/>
        <v>0</v>
      </c>
      <c r="AM17" s="66"/>
      <c r="AN17" s="66"/>
      <c r="AO17" s="66">
        <f t="shared" si="15"/>
        <v>0</v>
      </c>
    </row>
    <row r="18" spans="1:41" s="58" customFormat="1" ht="17.25" customHeight="1" x14ac:dyDescent="0.2">
      <c r="A18" s="64" t="s">
        <v>56</v>
      </c>
      <c r="B18" s="13"/>
      <c r="C18" s="14">
        <f t="shared" si="13"/>
        <v>24100</v>
      </c>
      <c r="D18" s="14">
        <v>70000</v>
      </c>
      <c r="E18" s="3"/>
      <c r="F18" s="132">
        <v>24100</v>
      </c>
      <c r="G18" s="65"/>
      <c r="H18" s="65">
        <f t="shared" si="0"/>
        <v>24100</v>
      </c>
      <c r="I18" s="132"/>
      <c r="J18" s="66"/>
      <c r="K18" s="66">
        <f t="shared" si="1"/>
        <v>0</v>
      </c>
      <c r="L18" s="132"/>
      <c r="M18" s="65"/>
      <c r="N18" s="65">
        <f t="shared" si="2"/>
        <v>0</v>
      </c>
      <c r="O18" s="132"/>
      <c r="P18" s="66"/>
      <c r="Q18" s="66">
        <f t="shared" si="3"/>
        <v>0</v>
      </c>
      <c r="R18" s="132"/>
      <c r="S18" s="65"/>
      <c r="T18" s="65">
        <f t="shared" si="4"/>
        <v>0</v>
      </c>
      <c r="U18" s="132"/>
      <c r="V18" s="66"/>
      <c r="W18" s="66">
        <f t="shared" si="5"/>
        <v>0</v>
      </c>
      <c r="X18" s="132"/>
      <c r="Y18" s="65"/>
      <c r="Z18" s="65">
        <f t="shared" si="6"/>
        <v>0</v>
      </c>
      <c r="AA18" s="132"/>
      <c r="AB18" s="66"/>
      <c r="AC18" s="66">
        <f t="shared" si="7"/>
        <v>0</v>
      </c>
      <c r="AD18" s="65"/>
      <c r="AE18" s="65"/>
      <c r="AF18" s="65">
        <f t="shared" si="8"/>
        <v>0</v>
      </c>
      <c r="AG18" s="66"/>
      <c r="AH18" s="66"/>
      <c r="AI18" s="66">
        <f t="shared" si="9"/>
        <v>0</v>
      </c>
      <c r="AJ18" s="65"/>
      <c r="AK18" s="65"/>
      <c r="AL18" s="65">
        <f t="shared" si="10"/>
        <v>0</v>
      </c>
      <c r="AM18" s="66"/>
      <c r="AN18" s="66"/>
      <c r="AO18" s="66">
        <f t="shared" si="15"/>
        <v>0</v>
      </c>
    </row>
    <row r="19" spans="1:41" s="58" customFormat="1" ht="17.25" customHeight="1" x14ac:dyDescent="0.2">
      <c r="A19" s="12" t="s">
        <v>162</v>
      </c>
      <c r="B19" s="13"/>
      <c r="C19" s="14">
        <f t="shared" si="13"/>
        <v>90038</v>
      </c>
      <c r="D19" s="14">
        <v>70000</v>
      </c>
      <c r="E19" s="3"/>
      <c r="F19" s="132">
        <v>90038</v>
      </c>
      <c r="G19" s="65"/>
      <c r="H19" s="65">
        <f t="shared" si="0"/>
        <v>90038</v>
      </c>
      <c r="I19" s="132"/>
      <c r="J19" s="66"/>
      <c r="K19" s="66">
        <f t="shared" si="1"/>
        <v>0</v>
      </c>
      <c r="L19" s="132"/>
      <c r="M19" s="65"/>
      <c r="N19" s="65">
        <f t="shared" si="2"/>
        <v>0</v>
      </c>
      <c r="O19" s="132"/>
      <c r="P19" s="66"/>
      <c r="Q19" s="66">
        <f t="shared" si="3"/>
        <v>0</v>
      </c>
      <c r="R19" s="132"/>
      <c r="S19" s="65"/>
      <c r="T19" s="65">
        <f t="shared" si="4"/>
        <v>0</v>
      </c>
      <c r="U19" s="132"/>
      <c r="V19" s="66"/>
      <c r="W19" s="66">
        <f t="shared" si="5"/>
        <v>0</v>
      </c>
      <c r="X19" s="132"/>
      <c r="Y19" s="65"/>
      <c r="Z19" s="65">
        <f t="shared" si="6"/>
        <v>0</v>
      </c>
      <c r="AA19" s="132"/>
      <c r="AB19" s="66"/>
      <c r="AC19" s="66">
        <f t="shared" si="7"/>
        <v>0</v>
      </c>
      <c r="AD19" s="65"/>
      <c r="AE19" s="65"/>
      <c r="AF19" s="65">
        <f t="shared" si="8"/>
        <v>0</v>
      </c>
      <c r="AG19" s="66"/>
      <c r="AH19" s="66"/>
      <c r="AI19" s="66">
        <f t="shared" si="9"/>
        <v>0</v>
      </c>
      <c r="AJ19" s="65"/>
      <c r="AK19" s="65"/>
      <c r="AL19" s="65">
        <f t="shared" si="10"/>
        <v>0</v>
      </c>
      <c r="AM19" s="66"/>
      <c r="AN19" s="66"/>
      <c r="AO19" s="66">
        <f t="shared" si="15"/>
        <v>0</v>
      </c>
    </row>
    <row r="20" spans="1:41" s="58" customFormat="1" ht="17.25" customHeight="1" x14ac:dyDescent="0.2">
      <c r="A20" s="12" t="s">
        <v>124</v>
      </c>
      <c r="B20" s="13"/>
      <c r="C20" s="14">
        <f t="shared" si="13"/>
        <v>174990</v>
      </c>
      <c r="D20" s="14"/>
      <c r="E20" s="3"/>
      <c r="F20" s="132">
        <v>174990</v>
      </c>
      <c r="G20" s="65"/>
      <c r="H20" s="65">
        <f t="shared" si="0"/>
        <v>174990</v>
      </c>
      <c r="I20" s="132"/>
      <c r="J20" s="66"/>
      <c r="K20" s="66">
        <f t="shared" si="1"/>
        <v>0</v>
      </c>
      <c r="L20" s="132"/>
      <c r="M20" s="65"/>
      <c r="N20" s="65">
        <f t="shared" si="2"/>
        <v>0</v>
      </c>
      <c r="O20" s="132"/>
      <c r="P20" s="66"/>
      <c r="Q20" s="66">
        <f t="shared" si="3"/>
        <v>0</v>
      </c>
      <c r="R20" s="132"/>
      <c r="S20" s="65"/>
      <c r="T20" s="65">
        <f t="shared" si="4"/>
        <v>0</v>
      </c>
      <c r="U20" s="132"/>
      <c r="V20" s="66"/>
      <c r="W20" s="66">
        <f t="shared" si="5"/>
        <v>0</v>
      </c>
      <c r="X20" s="132"/>
      <c r="Y20" s="65"/>
      <c r="Z20" s="65">
        <f t="shared" si="6"/>
        <v>0</v>
      </c>
      <c r="AA20" s="132"/>
      <c r="AB20" s="66"/>
      <c r="AC20" s="66">
        <f t="shared" si="7"/>
        <v>0</v>
      </c>
      <c r="AD20" s="65"/>
      <c r="AE20" s="65"/>
      <c r="AF20" s="65">
        <f t="shared" si="8"/>
        <v>0</v>
      </c>
      <c r="AG20" s="66"/>
      <c r="AH20" s="66"/>
      <c r="AI20" s="66">
        <f t="shared" si="9"/>
        <v>0</v>
      </c>
      <c r="AJ20" s="65"/>
      <c r="AK20" s="65"/>
      <c r="AL20" s="65">
        <f t="shared" si="10"/>
        <v>0</v>
      </c>
      <c r="AM20" s="66"/>
      <c r="AN20" s="66"/>
      <c r="AO20" s="66">
        <f t="shared" si="15"/>
        <v>0</v>
      </c>
    </row>
    <row r="21" spans="1:41" s="58" customFormat="1" ht="17.25" customHeight="1" x14ac:dyDescent="0.2">
      <c r="A21" s="64" t="s">
        <v>55</v>
      </c>
      <c r="B21" s="13"/>
      <c r="C21" s="14">
        <f t="shared" si="13"/>
        <v>189649</v>
      </c>
      <c r="D21" s="14">
        <v>20000</v>
      </c>
      <c r="E21" s="3"/>
      <c r="F21" s="132">
        <v>103000</v>
      </c>
      <c r="G21" s="65"/>
      <c r="H21" s="65">
        <f t="shared" si="0"/>
        <v>103000</v>
      </c>
      <c r="I21" s="132">
        <v>61649</v>
      </c>
      <c r="J21" s="66"/>
      <c r="K21" s="66">
        <f t="shared" si="1"/>
        <v>61649</v>
      </c>
      <c r="L21" s="132"/>
      <c r="M21" s="65"/>
      <c r="N21" s="65">
        <f t="shared" si="2"/>
        <v>0</v>
      </c>
      <c r="O21" s="133">
        <v>0</v>
      </c>
      <c r="P21" s="66"/>
      <c r="Q21" s="66">
        <f t="shared" si="3"/>
        <v>0</v>
      </c>
      <c r="R21" s="132"/>
      <c r="S21" s="65"/>
      <c r="T21" s="65">
        <f t="shared" si="4"/>
        <v>0</v>
      </c>
      <c r="U21" s="132">
        <v>0</v>
      </c>
      <c r="V21" s="66"/>
      <c r="W21" s="66">
        <f t="shared" si="5"/>
        <v>0</v>
      </c>
      <c r="X21" s="132">
        <v>25000</v>
      </c>
      <c r="Y21" s="65"/>
      <c r="Z21" s="65">
        <f t="shared" si="6"/>
        <v>25000</v>
      </c>
      <c r="AA21" s="132"/>
      <c r="AB21" s="66"/>
      <c r="AC21" s="66">
        <f t="shared" si="7"/>
        <v>0</v>
      </c>
      <c r="AD21" s="65"/>
      <c r="AE21" s="65"/>
      <c r="AF21" s="65">
        <f t="shared" si="8"/>
        <v>0</v>
      </c>
      <c r="AG21" s="66"/>
      <c r="AH21" s="66"/>
      <c r="AI21" s="66">
        <f t="shared" si="9"/>
        <v>0</v>
      </c>
      <c r="AJ21" s="65"/>
      <c r="AK21" s="65"/>
      <c r="AL21" s="65">
        <f t="shared" si="10"/>
        <v>0</v>
      </c>
      <c r="AM21" s="66"/>
      <c r="AN21" s="66"/>
      <c r="AO21" s="66">
        <f t="shared" si="15"/>
        <v>0</v>
      </c>
    </row>
    <row r="22" spans="1:41" s="58" customFormat="1" ht="17.25" x14ac:dyDescent="0.3">
      <c r="A22" s="4" t="s">
        <v>5</v>
      </c>
      <c r="B22" s="16"/>
      <c r="C22" s="17">
        <f>SUM(C7:C21)</f>
        <v>3608906</v>
      </c>
      <c r="D22" s="17">
        <f>SUM(D7:D21)</f>
        <v>380000</v>
      </c>
      <c r="E22" s="3"/>
      <c r="F22" s="67">
        <f t="shared" ref="F22:AO22" si="16">SUM(F7:F21)</f>
        <v>1890681</v>
      </c>
      <c r="G22" s="67">
        <f t="shared" si="16"/>
        <v>-344000</v>
      </c>
      <c r="H22" s="67">
        <f t="shared" si="16"/>
        <v>1546681</v>
      </c>
      <c r="I22" s="67">
        <f t="shared" si="16"/>
        <v>447032</v>
      </c>
      <c r="J22" s="67">
        <f t="shared" si="16"/>
        <v>-41540</v>
      </c>
      <c r="K22" s="67">
        <f t="shared" si="16"/>
        <v>405492</v>
      </c>
      <c r="L22" s="67">
        <f t="shared" si="16"/>
        <v>0</v>
      </c>
      <c r="M22" s="67">
        <f t="shared" si="16"/>
        <v>0</v>
      </c>
      <c r="N22" s="67">
        <f t="shared" si="16"/>
        <v>0</v>
      </c>
      <c r="O22" s="67">
        <f t="shared" si="16"/>
        <v>920670</v>
      </c>
      <c r="P22" s="67">
        <f t="shared" si="16"/>
        <v>-388260</v>
      </c>
      <c r="Q22" s="67">
        <f t="shared" si="16"/>
        <v>532410</v>
      </c>
      <c r="R22" s="67">
        <f t="shared" si="16"/>
        <v>1034673</v>
      </c>
      <c r="S22" s="67">
        <f t="shared" si="16"/>
        <v>0</v>
      </c>
      <c r="T22" s="67">
        <f t="shared" si="16"/>
        <v>1034673</v>
      </c>
      <c r="U22" s="67">
        <f t="shared" si="16"/>
        <v>45910</v>
      </c>
      <c r="V22" s="67">
        <f t="shared" si="16"/>
        <v>-14260</v>
      </c>
      <c r="W22" s="67">
        <f t="shared" si="16"/>
        <v>31650</v>
      </c>
      <c r="X22" s="67">
        <f t="shared" si="16"/>
        <v>45700</v>
      </c>
      <c r="Y22" s="67">
        <f t="shared" si="16"/>
        <v>0</v>
      </c>
      <c r="Z22" s="67">
        <f t="shared" si="16"/>
        <v>45700</v>
      </c>
      <c r="AA22" s="67">
        <f t="shared" si="16"/>
        <v>17930</v>
      </c>
      <c r="AB22" s="67">
        <f t="shared" si="16"/>
        <v>-7130</v>
      </c>
      <c r="AC22" s="67">
        <f t="shared" si="16"/>
        <v>10800</v>
      </c>
      <c r="AD22" s="67">
        <f t="shared" si="16"/>
        <v>2430</v>
      </c>
      <c r="AE22" s="67">
        <f t="shared" si="16"/>
        <v>-930</v>
      </c>
      <c r="AF22" s="67">
        <f t="shared" si="16"/>
        <v>1500</v>
      </c>
      <c r="AG22" s="67">
        <f t="shared" si="16"/>
        <v>0</v>
      </c>
      <c r="AH22" s="67">
        <f t="shared" si="16"/>
        <v>0</v>
      </c>
      <c r="AI22" s="67">
        <f t="shared" si="16"/>
        <v>0</v>
      </c>
      <c r="AJ22" s="67">
        <f t="shared" si="16"/>
        <v>0</v>
      </c>
      <c r="AK22" s="67">
        <f t="shared" si="16"/>
        <v>0</v>
      </c>
      <c r="AL22" s="67">
        <f t="shared" si="16"/>
        <v>0</v>
      </c>
      <c r="AM22" s="67">
        <f t="shared" si="16"/>
        <v>0</v>
      </c>
      <c r="AN22" s="67">
        <f t="shared" si="16"/>
        <v>0</v>
      </c>
      <c r="AO22" s="67">
        <f t="shared" si="16"/>
        <v>0</v>
      </c>
    </row>
    <row r="23" spans="1:41" s="58" customFormat="1" ht="21.95" customHeight="1" x14ac:dyDescent="0.3">
      <c r="A23" s="15"/>
      <c r="B23" s="16"/>
      <c r="C23" s="18"/>
      <c r="D23" s="18"/>
      <c r="E23" s="3"/>
      <c r="F23" s="65"/>
      <c r="G23" s="65"/>
      <c r="H23" s="65"/>
      <c r="I23" s="66"/>
      <c r="J23" s="66"/>
      <c r="K23" s="66"/>
      <c r="L23" s="65"/>
      <c r="M23" s="65"/>
      <c r="N23" s="65"/>
      <c r="O23" s="66"/>
      <c r="P23" s="66"/>
      <c r="Q23" s="66"/>
      <c r="R23" s="65"/>
      <c r="S23" s="65"/>
      <c r="T23" s="65"/>
      <c r="U23" s="66"/>
      <c r="V23" s="66"/>
      <c r="W23" s="66"/>
      <c r="X23" s="65"/>
      <c r="Y23" s="65"/>
      <c r="Z23" s="65"/>
      <c r="AA23" s="66"/>
      <c r="AB23" s="66"/>
      <c r="AC23" s="66"/>
      <c r="AD23" s="65"/>
      <c r="AE23" s="65"/>
      <c r="AF23" s="65"/>
      <c r="AG23" s="66"/>
      <c r="AH23" s="66"/>
      <c r="AI23" s="66"/>
      <c r="AJ23" s="65"/>
      <c r="AK23" s="65"/>
      <c r="AL23" s="65"/>
      <c r="AM23" s="66"/>
      <c r="AN23" s="66"/>
      <c r="AO23" s="66"/>
    </row>
    <row r="24" spans="1:41" s="58" customFormat="1" ht="17.25" x14ac:dyDescent="0.3">
      <c r="A24" s="4" t="s">
        <v>6</v>
      </c>
      <c r="B24" s="16"/>
      <c r="C24" s="19"/>
      <c r="D24" s="19"/>
      <c r="E24" s="3"/>
      <c r="F24" s="65"/>
      <c r="G24" s="65"/>
      <c r="H24" s="65"/>
      <c r="I24" s="66"/>
      <c r="J24" s="66"/>
      <c r="K24" s="66"/>
      <c r="L24" s="65"/>
      <c r="M24" s="65"/>
      <c r="N24" s="65"/>
      <c r="O24" s="66"/>
      <c r="P24" s="66"/>
      <c r="Q24" s="66"/>
      <c r="R24" s="65"/>
      <c r="S24" s="65"/>
      <c r="T24" s="65"/>
      <c r="U24" s="66"/>
      <c r="V24" s="66"/>
      <c r="W24" s="66"/>
      <c r="X24" s="65"/>
      <c r="Y24" s="65"/>
      <c r="Z24" s="65"/>
      <c r="AA24" s="66"/>
      <c r="AB24" s="66"/>
      <c r="AC24" s="66"/>
      <c r="AD24" s="65"/>
      <c r="AE24" s="65"/>
      <c r="AF24" s="65"/>
      <c r="AG24" s="66"/>
      <c r="AH24" s="66"/>
      <c r="AI24" s="66"/>
      <c r="AJ24" s="65"/>
      <c r="AK24" s="65"/>
      <c r="AL24" s="65"/>
      <c r="AM24" s="66"/>
      <c r="AN24" s="66"/>
      <c r="AO24" s="66"/>
    </row>
    <row r="25" spans="1:41" s="58" customFormat="1" ht="9.9499999999999993" customHeight="1" x14ac:dyDescent="0.3">
      <c r="A25" s="15"/>
      <c r="B25" s="16"/>
      <c r="C25" s="19"/>
      <c r="D25" s="19"/>
      <c r="E25" s="3"/>
      <c r="F25" s="65"/>
      <c r="G25" s="65"/>
      <c r="H25" s="65"/>
      <c r="I25" s="66"/>
      <c r="J25" s="66"/>
      <c r="K25" s="66"/>
      <c r="L25" s="65"/>
      <c r="M25" s="65"/>
      <c r="N25" s="65"/>
      <c r="O25" s="66"/>
      <c r="P25" s="66"/>
      <c r="Q25" s="66"/>
      <c r="R25" s="65"/>
      <c r="S25" s="65"/>
      <c r="T25" s="65"/>
      <c r="U25" s="66"/>
      <c r="V25" s="66"/>
      <c r="W25" s="66"/>
      <c r="X25" s="65"/>
      <c r="Y25" s="65"/>
      <c r="Z25" s="65"/>
      <c r="AA25" s="66"/>
      <c r="AB25" s="66"/>
      <c r="AC25" s="66"/>
      <c r="AD25" s="65"/>
      <c r="AE25" s="65"/>
      <c r="AF25" s="65"/>
      <c r="AG25" s="66"/>
      <c r="AH25" s="66"/>
      <c r="AI25" s="66"/>
      <c r="AJ25" s="65"/>
      <c r="AK25" s="65"/>
      <c r="AL25" s="65"/>
      <c r="AM25" s="66"/>
      <c r="AN25" s="66"/>
      <c r="AO25" s="66"/>
    </row>
    <row r="26" spans="1:41" s="58" customFormat="1" ht="16.5" customHeight="1" x14ac:dyDescent="0.3">
      <c r="A26" s="68" t="s">
        <v>89</v>
      </c>
      <c r="B26" s="16"/>
      <c r="C26" s="14">
        <f>H26+K26+N26+Q26+T26+W26+Z26+AC26+AF26+AI26+AL26+AO26</f>
        <v>237889</v>
      </c>
      <c r="D26" s="19"/>
      <c r="E26" s="3"/>
      <c r="F26" s="132">
        <v>0</v>
      </c>
      <c r="G26" s="65"/>
      <c r="H26" s="65">
        <f t="shared" si="0"/>
        <v>0</v>
      </c>
      <c r="I26" s="132">
        <v>27506</v>
      </c>
      <c r="J26" s="66"/>
      <c r="K26" s="66">
        <f t="shared" si="1"/>
        <v>27506</v>
      </c>
      <c r="L26" s="132"/>
      <c r="M26" s="65"/>
      <c r="N26" s="65">
        <f t="shared" si="2"/>
        <v>0</v>
      </c>
      <c r="O26" s="132">
        <v>40468</v>
      </c>
      <c r="P26" s="66"/>
      <c r="Q26" s="66">
        <f t="shared" si="3"/>
        <v>40468</v>
      </c>
      <c r="R26" s="132">
        <v>169915</v>
      </c>
      <c r="S26" s="65"/>
      <c r="T26" s="65">
        <f t="shared" si="4"/>
        <v>169915</v>
      </c>
      <c r="U26" s="132">
        <v>0</v>
      </c>
      <c r="V26" s="66"/>
      <c r="W26" s="66">
        <f t="shared" si="5"/>
        <v>0</v>
      </c>
      <c r="X26" s="132"/>
      <c r="Y26" s="65"/>
      <c r="Z26" s="65">
        <f t="shared" si="6"/>
        <v>0</v>
      </c>
      <c r="AA26" s="132"/>
      <c r="AB26" s="66"/>
      <c r="AC26" s="66">
        <f t="shared" si="7"/>
        <v>0</v>
      </c>
      <c r="AD26" s="65"/>
      <c r="AE26" s="65"/>
      <c r="AF26" s="65">
        <f t="shared" si="8"/>
        <v>0</v>
      </c>
      <c r="AG26" s="66"/>
      <c r="AH26" s="66"/>
      <c r="AI26" s="66">
        <f t="shared" si="9"/>
        <v>0</v>
      </c>
      <c r="AJ26" s="65"/>
      <c r="AK26" s="65"/>
      <c r="AL26" s="65">
        <f t="shared" si="10"/>
        <v>0</v>
      </c>
      <c r="AM26" s="66"/>
      <c r="AN26" s="66"/>
      <c r="AO26" s="66">
        <f t="shared" ref="AO26:AO30" si="17">AM26+AN26</f>
        <v>0</v>
      </c>
    </row>
    <row r="27" spans="1:41" s="58" customFormat="1" ht="16.5" customHeight="1" x14ac:dyDescent="0.3">
      <c r="A27" s="68" t="s">
        <v>60</v>
      </c>
      <c r="B27" s="16"/>
      <c r="C27" s="14">
        <f>H27+K27+N27+Q27+T27+W27+Z27+AC27+AF27+AI27+AL27+AO27</f>
        <v>995071</v>
      </c>
      <c r="D27" s="19">
        <v>35000</v>
      </c>
      <c r="E27" s="3"/>
      <c r="F27" s="132">
        <v>434598</v>
      </c>
      <c r="G27" s="65"/>
      <c r="H27" s="65">
        <f t="shared" si="0"/>
        <v>434598</v>
      </c>
      <c r="I27" s="132">
        <v>42372</v>
      </c>
      <c r="J27" s="66"/>
      <c r="K27" s="66">
        <f t="shared" si="1"/>
        <v>42372</v>
      </c>
      <c r="L27" s="132">
        <v>0</v>
      </c>
      <c r="M27" s="65"/>
      <c r="N27" s="65">
        <f t="shared" si="2"/>
        <v>0</v>
      </c>
      <c r="O27" s="132">
        <v>434751</v>
      </c>
      <c r="P27" s="66"/>
      <c r="Q27" s="66">
        <f t="shared" si="3"/>
        <v>434751</v>
      </c>
      <c r="R27" s="132">
        <v>71350</v>
      </c>
      <c r="S27" s="65"/>
      <c r="T27" s="65">
        <f t="shared" si="4"/>
        <v>71350</v>
      </c>
      <c r="U27" s="132"/>
      <c r="V27" s="66"/>
      <c r="W27" s="66">
        <f t="shared" si="5"/>
        <v>0</v>
      </c>
      <c r="X27" s="132">
        <v>6000</v>
      </c>
      <c r="Y27" s="65"/>
      <c r="Z27" s="65">
        <f t="shared" si="6"/>
        <v>6000</v>
      </c>
      <c r="AA27" s="132">
        <v>6000</v>
      </c>
      <c r="AB27" s="66"/>
      <c r="AC27" s="66">
        <f t="shared" si="7"/>
        <v>6000</v>
      </c>
      <c r="AD27" s="65"/>
      <c r="AE27" s="65"/>
      <c r="AF27" s="65">
        <f t="shared" si="8"/>
        <v>0</v>
      </c>
      <c r="AG27" s="66"/>
      <c r="AH27" s="66"/>
      <c r="AI27" s="66">
        <f t="shared" si="9"/>
        <v>0</v>
      </c>
      <c r="AJ27" s="65"/>
      <c r="AK27" s="65"/>
      <c r="AL27" s="65">
        <f t="shared" si="10"/>
        <v>0</v>
      </c>
      <c r="AM27" s="66"/>
      <c r="AN27" s="66"/>
      <c r="AO27" s="66">
        <f t="shared" si="17"/>
        <v>0</v>
      </c>
    </row>
    <row r="28" spans="1:41" s="58" customFormat="1" ht="16.5" customHeight="1" x14ac:dyDescent="0.3">
      <c r="A28" s="68" t="s">
        <v>62</v>
      </c>
      <c r="B28" s="16"/>
      <c r="C28" s="14">
        <f>H28+K28+N28+Q28+T28+W28+Z28+AC28+AF28+AI28+AL28+AO28</f>
        <v>267631</v>
      </c>
      <c r="D28" s="19">
        <v>0</v>
      </c>
      <c r="E28" s="3"/>
      <c r="F28" s="132">
        <v>266800</v>
      </c>
      <c r="G28" s="65"/>
      <c r="H28" s="65">
        <f t="shared" si="0"/>
        <v>266800</v>
      </c>
      <c r="I28" s="132"/>
      <c r="J28" s="66"/>
      <c r="K28" s="66">
        <f t="shared" si="1"/>
        <v>0</v>
      </c>
      <c r="L28" s="132"/>
      <c r="M28" s="65"/>
      <c r="N28" s="65">
        <f t="shared" si="2"/>
        <v>0</v>
      </c>
      <c r="O28" s="132">
        <v>0</v>
      </c>
      <c r="P28" s="66"/>
      <c r="Q28" s="66">
        <f t="shared" si="3"/>
        <v>0</v>
      </c>
      <c r="R28" s="132">
        <v>831</v>
      </c>
      <c r="S28" s="65"/>
      <c r="T28" s="65">
        <f t="shared" si="4"/>
        <v>831</v>
      </c>
      <c r="U28" s="132"/>
      <c r="V28" s="66"/>
      <c r="W28" s="66">
        <f t="shared" si="5"/>
        <v>0</v>
      </c>
      <c r="X28" s="132"/>
      <c r="Y28" s="65"/>
      <c r="Z28" s="65">
        <f t="shared" si="6"/>
        <v>0</v>
      </c>
      <c r="AA28" s="132"/>
      <c r="AB28" s="66"/>
      <c r="AC28" s="66">
        <f t="shared" si="7"/>
        <v>0</v>
      </c>
      <c r="AD28" s="65"/>
      <c r="AE28" s="65"/>
      <c r="AF28" s="65">
        <f t="shared" si="8"/>
        <v>0</v>
      </c>
      <c r="AG28" s="66"/>
      <c r="AH28" s="66"/>
      <c r="AI28" s="66">
        <f t="shared" si="9"/>
        <v>0</v>
      </c>
      <c r="AJ28" s="65"/>
      <c r="AK28" s="65"/>
      <c r="AL28" s="65">
        <f t="shared" si="10"/>
        <v>0</v>
      </c>
      <c r="AM28" s="66"/>
      <c r="AN28" s="66"/>
      <c r="AO28" s="66">
        <f t="shared" si="17"/>
        <v>0</v>
      </c>
    </row>
    <row r="29" spans="1:41" s="58" customFormat="1" ht="16.5" customHeight="1" x14ac:dyDescent="0.3">
      <c r="A29" s="68" t="s">
        <v>61</v>
      </c>
      <c r="B29" s="16"/>
      <c r="C29" s="14">
        <f>H29+K29+N29+Q29+T29+W29+Z29+AC29+AF29+AI29+AL29+AO29</f>
        <v>325332</v>
      </c>
      <c r="D29" s="19">
        <v>45000</v>
      </c>
      <c r="E29" s="3"/>
      <c r="F29" s="132">
        <v>325332</v>
      </c>
      <c r="G29" s="65"/>
      <c r="H29" s="65">
        <f t="shared" si="0"/>
        <v>325332</v>
      </c>
      <c r="I29" s="132"/>
      <c r="J29" s="66"/>
      <c r="K29" s="66">
        <f t="shared" si="1"/>
        <v>0</v>
      </c>
      <c r="L29" s="132"/>
      <c r="M29" s="65"/>
      <c r="N29" s="65">
        <f t="shared" si="2"/>
        <v>0</v>
      </c>
      <c r="O29" s="132"/>
      <c r="P29" s="66"/>
      <c r="Q29" s="66">
        <f t="shared" si="3"/>
        <v>0</v>
      </c>
      <c r="R29" s="132"/>
      <c r="S29" s="65"/>
      <c r="T29" s="65">
        <f t="shared" si="4"/>
        <v>0</v>
      </c>
      <c r="U29" s="132"/>
      <c r="V29" s="66"/>
      <c r="W29" s="66">
        <f t="shared" si="5"/>
        <v>0</v>
      </c>
      <c r="X29" s="132"/>
      <c r="Y29" s="65"/>
      <c r="Z29" s="65">
        <f t="shared" si="6"/>
        <v>0</v>
      </c>
      <c r="AA29" s="132"/>
      <c r="AB29" s="66"/>
      <c r="AC29" s="66">
        <f t="shared" si="7"/>
        <v>0</v>
      </c>
      <c r="AD29" s="65"/>
      <c r="AE29" s="65"/>
      <c r="AF29" s="65">
        <f t="shared" si="8"/>
        <v>0</v>
      </c>
      <c r="AG29" s="66"/>
      <c r="AH29" s="66"/>
      <c r="AI29" s="66">
        <f t="shared" si="9"/>
        <v>0</v>
      </c>
      <c r="AJ29" s="65"/>
      <c r="AK29" s="65"/>
      <c r="AL29" s="65">
        <f t="shared" si="10"/>
        <v>0</v>
      </c>
      <c r="AM29" s="66"/>
      <c r="AN29" s="66"/>
      <c r="AO29" s="66">
        <f t="shared" si="17"/>
        <v>0</v>
      </c>
    </row>
    <row r="30" spans="1:41" s="58" customFormat="1" ht="17.25" x14ac:dyDescent="0.3">
      <c r="A30" s="68" t="s">
        <v>63</v>
      </c>
      <c r="B30" s="16"/>
      <c r="C30" s="14">
        <f>H30+K30+N30+Q30+T30+W30+Z30+AC30+AF30+AI30+AL30+AO30</f>
        <v>1640510</v>
      </c>
      <c r="D30" s="19">
        <v>20000</v>
      </c>
      <c r="E30" s="3"/>
      <c r="F30" s="132">
        <f>388024+22257+140120+106811-1</f>
        <v>657211</v>
      </c>
      <c r="G30" s="120">
        <v>-140120</v>
      </c>
      <c r="H30" s="65">
        <f t="shared" si="0"/>
        <v>517091</v>
      </c>
      <c r="I30" s="132">
        <f>385894-1</f>
        <v>385893</v>
      </c>
      <c r="J30" s="66"/>
      <c r="K30" s="66">
        <f t="shared" si="1"/>
        <v>385893</v>
      </c>
      <c r="L30" s="132"/>
      <c r="M30" s="65"/>
      <c r="N30" s="65">
        <f t="shared" si="2"/>
        <v>0</v>
      </c>
      <c r="O30" s="132">
        <f>364968+156693</f>
        <v>521661</v>
      </c>
      <c r="P30" s="120">
        <v>-100000</v>
      </c>
      <c r="Q30" s="66">
        <f t="shared" si="3"/>
        <v>421661</v>
      </c>
      <c r="R30" s="132">
        <f>247994+140000</f>
        <v>387994</v>
      </c>
      <c r="S30" s="120">
        <v>-140000</v>
      </c>
      <c r="T30" s="65">
        <f t="shared" si="4"/>
        <v>247994</v>
      </c>
      <c r="U30" s="132">
        <v>25745</v>
      </c>
      <c r="V30" s="66"/>
      <c r="W30" s="66">
        <f t="shared" si="5"/>
        <v>25745</v>
      </c>
      <c r="X30" s="132">
        <v>34985</v>
      </c>
      <c r="Y30" s="65"/>
      <c r="Z30" s="65">
        <f t="shared" si="6"/>
        <v>34985</v>
      </c>
      <c r="AA30" s="132">
        <v>6926</v>
      </c>
      <c r="AB30" s="66"/>
      <c r="AC30" s="66">
        <f t="shared" si="7"/>
        <v>6926</v>
      </c>
      <c r="AD30" s="65">
        <v>4215</v>
      </c>
      <c r="AE30" s="120">
        <v>-4000</v>
      </c>
      <c r="AF30" s="65">
        <f t="shared" si="8"/>
        <v>215</v>
      </c>
      <c r="AG30" s="66"/>
      <c r="AH30" s="66"/>
      <c r="AI30" s="66">
        <f t="shared" si="9"/>
        <v>0</v>
      </c>
      <c r="AJ30" s="65"/>
      <c r="AK30" s="65"/>
      <c r="AL30" s="65">
        <f t="shared" si="10"/>
        <v>0</v>
      </c>
      <c r="AM30" s="66"/>
      <c r="AN30" s="66"/>
      <c r="AO30" s="66">
        <f t="shared" si="17"/>
        <v>0</v>
      </c>
    </row>
    <row r="31" spans="1:41" s="58" customFormat="1" ht="17.25" x14ac:dyDescent="0.3">
      <c r="A31" s="4" t="s">
        <v>7</v>
      </c>
      <c r="B31" s="16"/>
      <c r="C31" s="17">
        <f>SUM(C26:C30)</f>
        <v>3466433</v>
      </c>
      <c r="D31" s="17">
        <f>SUM(D27:D30)</f>
        <v>100000</v>
      </c>
      <c r="E31" s="3"/>
      <c r="F31" s="17">
        <f t="shared" ref="F31:AO31" si="18">SUM(F26:F30)</f>
        <v>1683941</v>
      </c>
      <c r="G31" s="17">
        <f t="shared" si="18"/>
        <v>-140120</v>
      </c>
      <c r="H31" s="17">
        <f t="shared" si="18"/>
        <v>1543821</v>
      </c>
      <c r="I31" s="17">
        <f t="shared" si="18"/>
        <v>455771</v>
      </c>
      <c r="J31" s="17">
        <f t="shared" si="18"/>
        <v>0</v>
      </c>
      <c r="K31" s="17">
        <f t="shared" si="18"/>
        <v>455771</v>
      </c>
      <c r="L31" s="17">
        <f t="shared" si="18"/>
        <v>0</v>
      </c>
      <c r="M31" s="17">
        <f t="shared" si="18"/>
        <v>0</v>
      </c>
      <c r="N31" s="17">
        <f t="shared" si="18"/>
        <v>0</v>
      </c>
      <c r="O31" s="17">
        <f t="shared" si="18"/>
        <v>996880</v>
      </c>
      <c r="P31" s="17">
        <f t="shared" si="18"/>
        <v>-100000</v>
      </c>
      <c r="Q31" s="17">
        <f t="shared" si="18"/>
        <v>896880</v>
      </c>
      <c r="R31" s="17">
        <f t="shared" si="18"/>
        <v>630090</v>
      </c>
      <c r="S31" s="17">
        <f t="shared" si="18"/>
        <v>-140000</v>
      </c>
      <c r="T31" s="17">
        <f t="shared" si="18"/>
        <v>490090</v>
      </c>
      <c r="U31" s="17">
        <f t="shared" si="18"/>
        <v>25745</v>
      </c>
      <c r="V31" s="17">
        <f t="shared" si="18"/>
        <v>0</v>
      </c>
      <c r="W31" s="17">
        <f t="shared" si="18"/>
        <v>25745</v>
      </c>
      <c r="X31" s="17">
        <f t="shared" si="18"/>
        <v>40985</v>
      </c>
      <c r="Y31" s="17">
        <f t="shared" si="18"/>
        <v>0</v>
      </c>
      <c r="Z31" s="17">
        <f t="shared" si="18"/>
        <v>40985</v>
      </c>
      <c r="AA31" s="17">
        <f t="shared" si="18"/>
        <v>12926</v>
      </c>
      <c r="AB31" s="17">
        <f t="shared" si="18"/>
        <v>0</v>
      </c>
      <c r="AC31" s="17">
        <f t="shared" si="18"/>
        <v>12926</v>
      </c>
      <c r="AD31" s="17">
        <f t="shared" si="18"/>
        <v>4215</v>
      </c>
      <c r="AE31" s="17">
        <f t="shared" si="18"/>
        <v>-4000</v>
      </c>
      <c r="AF31" s="17">
        <f t="shared" si="18"/>
        <v>215</v>
      </c>
      <c r="AG31" s="17">
        <f t="shared" si="18"/>
        <v>0</v>
      </c>
      <c r="AH31" s="17">
        <f t="shared" si="18"/>
        <v>0</v>
      </c>
      <c r="AI31" s="17">
        <f t="shared" si="18"/>
        <v>0</v>
      </c>
      <c r="AJ31" s="17">
        <f t="shared" si="18"/>
        <v>0</v>
      </c>
      <c r="AK31" s="17">
        <f t="shared" si="18"/>
        <v>0</v>
      </c>
      <c r="AL31" s="17">
        <f t="shared" si="18"/>
        <v>0</v>
      </c>
      <c r="AM31" s="17">
        <f t="shared" si="18"/>
        <v>0</v>
      </c>
      <c r="AN31" s="17">
        <f t="shared" si="18"/>
        <v>0</v>
      </c>
      <c r="AO31" s="17">
        <f t="shared" si="18"/>
        <v>0</v>
      </c>
    </row>
    <row r="32" spans="1:41" s="58" customFormat="1" ht="17.25" x14ac:dyDescent="0.3">
      <c r="A32" s="15"/>
      <c r="B32" s="16"/>
      <c r="C32" s="20"/>
      <c r="D32" s="20"/>
      <c r="E32" s="3"/>
      <c r="F32" s="65"/>
      <c r="G32" s="65"/>
      <c r="H32" s="65">
        <f t="shared" si="0"/>
        <v>0</v>
      </c>
      <c r="I32" s="66"/>
      <c r="J32" s="66"/>
      <c r="K32" s="66">
        <f t="shared" si="1"/>
        <v>0</v>
      </c>
      <c r="L32" s="65"/>
      <c r="M32" s="65"/>
      <c r="N32" s="65">
        <f t="shared" si="2"/>
        <v>0</v>
      </c>
      <c r="O32" s="66"/>
      <c r="P32" s="66"/>
      <c r="Q32" s="66">
        <f t="shared" si="3"/>
        <v>0</v>
      </c>
      <c r="R32" s="65"/>
      <c r="S32" s="65"/>
      <c r="T32" s="65">
        <f t="shared" si="4"/>
        <v>0</v>
      </c>
      <c r="U32" s="66"/>
      <c r="V32" s="66"/>
      <c r="W32" s="66">
        <f t="shared" si="5"/>
        <v>0</v>
      </c>
      <c r="X32" s="65"/>
      <c r="Y32" s="65"/>
      <c r="Z32" s="65">
        <f t="shared" si="6"/>
        <v>0</v>
      </c>
      <c r="AA32" s="66"/>
      <c r="AB32" s="66"/>
      <c r="AC32" s="66">
        <f t="shared" si="7"/>
        <v>0</v>
      </c>
      <c r="AD32" s="65"/>
      <c r="AE32" s="65"/>
      <c r="AF32" s="65">
        <f t="shared" si="8"/>
        <v>0</v>
      </c>
      <c r="AG32" s="66"/>
      <c r="AH32" s="66"/>
      <c r="AI32" s="66">
        <f t="shared" si="9"/>
        <v>0</v>
      </c>
      <c r="AJ32" s="65"/>
      <c r="AK32" s="65"/>
      <c r="AL32" s="65">
        <f t="shared" si="10"/>
        <v>0</v>
      </c>
      <c r="AM32" s="66"/>
      <c r="AN32" s="66"/>
      <c r="AO32" s="66">
        <f t="shared" ref="AO32" si="19">AM32+AN32</f>
        <v>0</v>
      </c>
    </row>
    <row r="33" spans="1:41" s="58" customFormat="1" ht="17.25" x14ac:dyDescent="0.3">
      <c r="A33" s="4" t="s">
        <v>8</v>
      </c>
      <c r="B33" s="16"/>
      <c r="C33" s="21">
        <f>C22-C31</f>
        <v>142473</v>
      </c>
      <c r="D33" s="21">
        <f>D22-D31</f>
        <v>280000</v>
      </c>
      <c r="E33" s="3"/>
      <c r="F33" s="21">
        <f t="shared" ref="F33:AO33" si="20">F22-F31</f>
        <v>206740</v>
      </c>
      <c r="G33" s="21">
        <f t="shared" si="20"/>
        <v>-203880</v>
      </c>
      <c r="H33" s="21">
        <f t="shared" si="20"/>
        <v>2860</v>
      </c>
      <c r="I33" s="21">
        <f t="shared" si="20"/>
        <v>-8739</v>
      </c>
      <c r="J33" s="21">
        <f t="shared" si="20"/>
        <v>-41540</v>
      </c>
      <c r="K33" s="21">
        <f t="shared" si="20"/>
        <v>-50279</v>
      </c>
      <c r="L33" s="21">
        <f t="shared" si="20"/>
        <v>0</v>
      </c>
      <c r="M33" s="21">
        <f t="shared" si="20"/>
        <v>0</v>
      </c>
      <c r="N33" s="21">
        <f t="shared" si="20"/>
        <v>0</v>
      </c>
      <c r="O33" s="21">
        <f t="shared" si="20"/>
        <v>-76210</v>
      </c>
      <c r="P33" s="21">
        <f t="shared" si="20"/>
        <v>-288260</v>
      </c>
      <c r="Q33" s="21">
        <f t="shared" si="20"/>
        <v>-364470</v>
      </c>
      <c r="R33" s="21">
        <f t="shared" si="20"/>
        <v>404583</v>
      </c>
      <c r="S33" s="21">
        <f t="shared" si="20"/>
        <v>140000</v>
      </c>
      <c r="T33" s="21">
        <f t="shared" si="20"/>
        <v>544583</v>
      </c>
      <c r="U33" s="21">
        <f t="shared" si="20"/>
        <v>20165</v>
      </c>
      <c r="V33" s="21">
        <f t="shared" si="20"/>
        <v>-14260</v>
      </c>
      <c r="W33" s="21">
        <f t="shared" si="20"/>
        <v>5905</v>
      </c>
      <c r="X33" s="21">
        <f t="shared" si="20"/>
        <v>4715</v>
      </c>
      <c r="Y33" s="21">
        <f t="shared" si="20"/>
        <v>0</v>
      </c>
      <c r="Z33" s="21">
        <f t="shared" si="20"/>
        <v>4715</v>
      </c>
      <c r="AA33" s="21">
        <f t="shared" si="20"/>
        <v>5004</v>
      </c>
      <c r="AB33" s="21">
        <f t="shared" si="20"/>
        <v>-7130</v>
      </c>
      <c r="AC33" s="21">
        <f t="shared" si="20"/>
        <v>-2126</v>
      </c>
      <c r="AD33" s="21">
        <f t="shared" si="20"/>
        <v>-1785</v>
      </c>
      <c r="AE33" s="21">
        <f t="shared" si="20"/>
        <v>3070</v>
      </c>
      <c r="AF33" s="21">
        <f t="shared" si="20"/>
        <v>1285</v>
      </c>
      <c r="AG33" s="21">
        <f t="shared" si="20"/>
        <v>0</v>
      </c>
      <c r="AH33" s="21">
        <f t="shared" si="20"/>
        <v>0</v>
      </c>
      <c r="AI33" s="21">
        <f t="shared" si="20"/>
        <v>0</v>
      </c>
      <c r="AJ33" s="21">
        <f t="shared" si="20"/>
        <v>0</v>
      </c>
      <c r="AK33" s="21">
        <f t="shared" si="20"/>
        <v>0</v>
      </c>
      <c r="AL33" s="21">
        <f t="shared" si="20"/>
        <v>0</v>
      </c>
      <c r="AM33" s="21">
        <f t="shared" si="20"/>
        <v>0</v>
      </c>
      <c r="AN33" s="21">
        <f t="shared" si="20"/>
        <v>0</v>
      </c>
      <c r="AO33" s="21">
        <f t="shared" si="20"/>
        <v>0</v>
      </c>
    </row>
    <row r="34" spans="1:41" s="58" customFormat="1" ht="23.1" customHeight="1" x14ac:dyDescent="0.3">
      <c r="A34" s="22"/>
      <c r="B34" s="16"/>
      <c r="C34" s="18"/>
      <c r="D34" s="18"/>
      <c r="E34" s="3"/>
      <c r="F34" s="65"/>
      <c r="G34" s="65"/>
      <c r="H34" s="65"/>
      <c r="I34" s="66"/>
      <c r="J34" s="66"/>
      <c r="K34" s="66"/>
      <c r="L34" s="65"/>
      <c r="M34" s="65"/>
      <c r="N34" s="65"/>
      <c r="O34" s="66"/>
      <c r="P34" s="66"/>
      <c r="Q34" s="66"/>
      <c r="R34" s="65"/>
      <c r="S34" s="65"/>
      <c r="T34" s="65"/>
      <c r="U34" s="66"/>
      <c r="V34" s="66"/>
      <c r="W34" s="66"/>
      <c r="X34" s="65"/>
      <c r="Y34" s="65"/>
      <c r="Z34" s="65"/>
      <c r="AA34" s="66"/>
      <c r="AB34" s="66"/>
      <c r="AC34" s="66"/>
      <c r="AD34" s="65"/>
      <c r="AE34" s="65"/>
      <c r="AF34" s="65"/>
      <c r="AG34" s="66"/>
      <c r="AH34" s="66"/>
      <c r="AI34" s="66"/>
      <c r="AJ34" s="65"/>
      <c r="AK34" s="65"/>
      <c r="AL34" s="65"/>
      <c r="AM34" s="66"/>
      <c r="AN34" s="66"/>
      <c r="AO34" s="66"/>
    </row>
    <row r="35" spans="1:41" s="58" customFormat="1" ht="17.25" x14ac:dyDescent="0.3">
      <c r="A35" s="4" t="s">
        <v>9</v>
      </c>
      <c r="B35" s="16"/>
      <c r="C35" s="19"/>
      <c r="D35" s="19"/>
      <c r="E35" s="3"/>
      <c r="F35" s="65"/>
      <c r="G35" s="65"/>
      <c r="H35" s="65"/>
      <c r="I35" s="66"/>
      <c r="J35" s="66"/>
      <c r="K35" s="66"/>
      <c r="L35" s="65"/>
      <c r="M35" s="65"/>
      <c r="N35" s="65"/>
      <c r="O35" s="66"/>
      <c r="P35" s="66"/>
      <c r="Q35" s="66"/>
      <c r="R35" s="65"/>
      <c r="S35" s="65"/>
      <c r="T35" s="65"/>
      <c r="U35" s="66"/>
      <c r="V35" s="66"/>
      <c r="W35" s="66"/>
      <c r="X35" s="65"/>
      <c r="Y35" s="65"/>
      <c r="Z35" s="65"/>
      <c r="AA35" s="66"/>
      <c r="AB35" s="66"/>
      <c r="AC35" s="66"/>
      <c r="AD35" s="65"/>
      <c r="AE35" s="65"/>
      <c r="AF35" s="65"/>
      <c r="AG35" s="66"/>
      <c r="AH35" s="66"/>
      <c r="AI35" s="66"/>
      <c r="AJ35" s="65"/>
      <c r="AK35" s="65"/>
      <c r="AL35" s="65"/>
      <c r="AM35" s="66"/>
      <c r="AN35" s="66"/>
      <c r="AO35" s="66"/>
    </row>
    <row r="36" spans="1:41" s="58" customFormat="1" ht="9.9499999999999993" customHeight="1" x14ac:dyDescent="0.3">
      <c r="A36" s="4"/>
      <c r="B36" s="16"/>
      <c r="C36" s="19"/>
      <c r="D36" s="19"/>
      <c r="E36" s="3"/>
      <c r="F36" s="65"/>
      <c r="G36" s="65"/>
      <c r="H36" s="65"/>
      <c r="I36" s="66"/>
      <c r="J36" s="66"/>
      <c r="K36" s="66"/>
      <c r="L36" s="65"/>
      <c r="M36" s="65"/>
      <c r="N36" s="65"/>
      <c r="O36" s="66"/>
      <c r="P36" s="66"/>
      <c r="Q36" s="66"/>
      <c r="R36" s="65"/>
      <c r="S36" s="65"/>
      <c r="T36" s="65"/>
      <c r="U36" s="66"/>
      <c r="V36" s="66"/>
      <c r="W36" s="66"/>
      <c r="X36" s="65"/>
      <c r="Y36" s="65"/>
      <c r="Z36" s="65"/>
      <c r="AA36" s="66"/>
      <c r="AB36" s="66"/>
      <c r="AC36" s="66"/>
      <c r="AD36" s="65"/>
      <c r="AE36" s="65"/>
      <c r="AF36" s="65"/>
      <c r="AG36" s="66"/>
      <c r="AH36" s="66"/>
      <c r="AI36" s="66"/>
      <c r="AJ36" s="65"/>
      <c r="AK36" s="65"/>
      <c r="AL36" s="65"/>
      <c r="AM36" s="66"/>
      <c r="AN36" s="66"/>
      <c r="AO36" s="66"/>
    </row>
    <row r="37" spans="1:41" s="58" customFormat="1" ht="17.25" x14ac:dyDescent="0.3">
      <c r="A37" s="15" t="s">
        <v>10</v>
      </c>
      <c r="B37" s="16"/>
      <c r="C37" s="14">
        <f>H37+K37+N37+Q37+T37+W37+Z37+AC37+AF37+AI37+AL37+AO37</f>
        <v>1650</v>
      </c>
      <c r="D37" s="19">
        <v>0</v>
      </c>
      <c r="E37" s="3"/>
      <c r="F37" s="132">
        <v>238</v>
      </c>
      <c r="G37" s="65"/>
      <c r="H37" s="65">
        <f t="shared" si="0"/>
        <v>238</v>
      </c>
      <c r="I37" s="132">
        <v>110</v>
      </c>
      <c r="J37" s="66"/>
      <c r="K37" s="66">
        <f t="shared" si="1"/>
        <v>110</v>
      </c>
      <c r="L37" s="132">
        <v>0</v>
      </c>
      <c r="M37" s="65"/>
      <c r="N37" s="65">
        <f t="shared" si="2"/>
        <v>0</v>
      </c>
      <c r="O37" s="132">
        <v>98</v>
      </c>
      <c r="P37" s="66"/>
      <c r="Q37" s="66">
        <f t="shared" si="3"/>
        <v>98</v>
      </c>
      <c r="R37" s="132">
        <v>1107</v>
      </c>
      <c r="S37" s="65"/>
      <c r="T37" s="65">
        <f t="shared" si="4"/>
        <v>1107</v>
      </c>
      <c r="U37" s="132">
        <v>26</v>
      </c>
      <c r="V37" s="66"/>
      <c r="W37" s="66">
        <f t="shared" si="5"/>
        <v>26</v>
      </c>
      <c r="X37" s="132">
        <v>50</v>
      </c>
      <c r="Y37" s="65"/>
      <c r="Z37" s="65">
        <f t="shared" si="6"/>
        <v>50</v>
      </c>
      <c r="AA37" s="132">
        <v>20</v>
      </c>
      <c r="AB37" s="66"/>
      <c r="AC37" s="66">
        <f t="shared" si="7"/>
        <v>20</v>
      </c>
      <c r="AD37" s="65">
        <v>1</v>
      </c>
      <c r="AE37" s="65"/>
      <c r="AF37" s="65">
        <f t="shared" si="8"/>
        <v>1</v>
      </c>
      <c r="AG37" s="66"/>
      <c r="AH37" s="66"/>
      <c r="AI37" s="66">
        <f t="shared" si="9"/>
        <v>0</v>
      </c>
      <c r="AJ37" s="65"/>
      <c r="AK37" s="65"/>
      <c r="AL37" s="65">
        <f t="shared" si="10"/>
        <v>0</v>
      </c>
      <c r="AM37" s="66"/>
      <c r="AN37" s="66"/>
      <c r="AO37" s="66">
        <f t="shared" ref="AO37:AO39" si="21">AM37+AN37</f>
        <v>0</v>
      </c>
    </row>
    <row r="38" spans="1:41" s="58" customFormat="1" ht="17.25" x14ac:dyDescent="0.3">
      <c r="A38" s="68" t="s">
        <v>64</v>
      </c>
      <c r="B38" s="16"/>
      <c r="C38" s="14">
        <f>H38+K38+N38+Q38+T38+W38+Z38+AC38+AF38+AI38+AL38+AO38</f>
        <v>94338</v>
      </c>
      <c r="D38" s="19"/>
      <c r="E38" s="3"/>
      <c r="F38" s="132">
        <v>93867</v>
      </c>
      <c r="G38" s="65"/>
      <c r="H38" s="65">
        <f t="shared" si="0"/>
        <v>93867</v>
      </c>
      <c r="I38" s="132">
        <v>0</v>
      </c>
      <c r="J38" s="66"/>
      <c r="K38" s="66">
        <f t="shared" si="1"/>
        <v>0</v>
      </c>
      <c r="L38" s="132"/>
      <c r="M38" s="65"/>
      <c r="N38" s="65">
        <f t="shared" si="2"/>
        <v>0</v>
      </c>
      <c r="O38" s="132">
        <v>143</v>
      </c>
      <c r="P38" s="66"/>
      <c r="Q38" s="66">
        <f t="shared" si="3"/>
        <v>143</v>
      </c>
      <c r="R38" s="132">
        <v>0</v>
      </c>
      <c r="S38" s="65"/>
      <c r="T38" s="65">
        <f t="shared" si="4"/>
        <v>0</v>
      </c>
      <c r="U38" s="132">
        <v>328</v>
      </c>
      <c r="V38" s="66"/>
      <c r="W38" s="66">
        <f t="shared" si="5"/>
        <v>328</v>
      </c>
      <c r="X38" s="132"/>
      <c r="Y38" s="65"/>
      <c r="Z38" s="65">
        <f t="shared" si="6"/>
        <v>0</v>
      </c>
      <c r="AA38" s="132"/>
      <c r="AB38" s="66"/>
      <c r="AC38" s="66">
        <f t="shared" si="7"/>
        <v>0</v>
      </c>
      <c r="AD38" s="65"/>
      <c r="AE38" s="65"/>
      <c r="AF38" s="65">
        <f t="shared" si="8"/>
        <v>0</v>
      </c>
      <c r="AG38" s="66"/>
      <c r="AH38" s="66"/>
      <c r="AI38" s="66">
        <f t="shared" si="9"/>
        <v>0</v>
      </c>
      <c r="AJ38" s="65"/>
      <c r="AK38" s="65"/>
      <c r="AL38" s="65">
        <f t="shared" si="10"/>
        <v>0</v>
      </c>
      <c r="AM38" s="66"/>
      <c r="AN38" s="66"/>
      <c r="AO38" s="66">
        <f t="shared" si="21"/>
        <v>0</v>
      </c>
    </row>
    <row r="39" spans="1:41" s="58" customFormat="1" ht="17.25" x14ac:dyDescent="0.3">
      <c r="A39" s="68" t="s">
        <v>65</v>
      </c>
      <c r="B39" s="16"/>
      <c r="C39" s="14">
        <f>H39+K39+N39+Q39+T39+W39+Z39+AC39+AF39+AI39+AL39+AO39</f>
        <v>0</v>
      </c>
      <c r="D39" s="19"/>
      <c r="E39" s="3"/>
      <c r="F39" s="132"/>
      <c r="G39" s="65"/>
      <c r="H39" s="65">
        <f t="shared" si="0"/>
        <v>0</v>
      </c>
      <c r="I39" s="132"/>
      <c r="J39" s="66"/>
      <c r="K39" s="66">
        <f t="shared" si="1"/>
        <v>0</v>
      </c>
      <c r="L39" s="132"/>
      <c r="M39" s="65"/>
      <c r="N39" s="65">
        <f t="shared" si="2"/>
        <v>0</v>
      </c>
      <c r="O39" s="132"/>
      <c r="P39" s="66"/>
      <c r="Q39" s="66">
        <f t="shared" si="3"/>
        <v>0</v>
      </c>
      <c r="R39" s="132"/>
      <c r="S39" s="65"/>
      <c r="T39" s="65">
        <f t="shared" si="4"/>
        <v>0</v>
      </c>
      <c r="U39" s="132"/>
      <c r="V39" s="66"/>
      <c r="W39" s="66">
        <f t="shared" si="5"/>
        <v>0</v>
      </c>
      <c r="X39" s="132"/>
      <c r="Y39" s="65"/>
      <c r="Z39" s="65">
        <f t="shared" si="6"/>
        <v>0</v>
      </c>
      <c r="AA39" s="132"/>
      <c r="AB39" s="66"/>
      <c r="AC39" s="66">
        <f t="shared" si="7"/>
        <v>0</v>
      </c>
      <c r="AD39" s="65"/>
      <c r="AE39" s="65"/>
      <c r="AF39" s="65">
        <f t="shared" si="8"/>
        <v>0</v>
      </c>
      <c r="AG39" s="66"/>
      <c r="AH39" s="66"/>
      <c r="AI39" s="66">
        <f t="shared" si="9"/>
        <v>0</v>
      </c>
      <c r="AJ39" s="65"/>
      <c r="AK39" s="65"/>
      <c r="AL39" s="65">
        <f t="shared" si="10"/>
        <v>0</v>
      </c>
      <c r="AM39" s="66"/>
      <c r="AN39" s="66"/>
      <c r="AO39" s="66">
        <f t="shared" si="21"/>
        <v>0</v>
      </c>
    </row>
    <row r="40" spans="1:41" s="58" customFormat="1" ht="21.95" customHeight="1" x14ac:dyDescent="0.3">
      <c r="A40" s="4" t="s">
        <v>11</v>
      </c>
      <c r="B40" s="16"/>
      <c r="C40" s="17">
        <f>C37-C38-C39</f>
        <v>-92688</v>
      </c>
      <c r="D40" s="17">
        <f>SUM(D37:D37)</f>
        <v>0</v>
      </c>
      <c r="E40" s="3"/>
      <c r="F40" s="17">
        <f t="shared" ref="F40:AO40" si="22">F37-F38-F39</f>
        <v>-93629</v>
      </c>
      <c r="G40" s="17">
        <f t="shared" si="22"/>
        <v>0</v>
      </c>
      <c r="H40" s="17">
        <f t="shared" si="22"/>
        <v>-93629</v>
      </c>
      <c r="I40" s="17">
        <f t="shared" si="22"/>
        <v>110</v>
      </c>
      <c r="J40" s="17">
        <f t="shared" si="22"/>
        <v>0</v>
      </c>
      <c r="K40" s="17">
        <f t="shared" si="22"/>
        <v>110</v>
      </c>
      <c r="L40" s="17">
        <f t="shared" si="22"/>
        <v>0</v>
      </c>
      <c r="M40" s="17">
        <f t="shared" si="22"/>
        <v>0</v>
      </c>
      <c r="N40" s="17">
        <f t="shared" si="22"/>
        <v>0</v>
      </c>
      <c r="O40" s="17">
        <f t="shared" si="22"/>
        <v>-45</v>
      </c>
      <c r="P40" s="17">
        <f t="shared" si="22"/>
        <v>0</v>
      </c>
      <c r="Q40" s="17">
        <f t="shared" si="22"/>
        <v>-45</v>
      </c>
      <c r="R40" s="17">
        <f t="shared" si="22"/>
        <v>1107</v>
      </c>
      <c r="S40" s="17">
        <f t="shared" si="22"/>
        <v>0</v>
      </c>
      <c r="T40" s="17">
        <f t="shared" si="22"/>
        <v>1107</v>
      </c>
      <c r="U40" s="17">
        <f t="shared" si="22"/>
        <v>-302</v>
      </c>
      <c r="V40" s="17">
        <f t="shared" si="22"/>
        <v>0</v>
      </c>
      <c r="W40" s="17">
        <f t="shared" si="22"/>
        <v>-302</v>
      </c>
      <c r="X40" s="17">
        <f t="shared" si="22"/>
        <v>50</v>
      </c>
      <c r="Y40" s="17">
        <f t="shared" si="22"/>
        <v>0</v>
      </c>
      <c r="Z40" s="17">
        <f t="shared" si="22"/>
        <v>50</v>
      </c>
      <c r="AA40" s="17">
        <f t="shared" si="22"/>
        <v>20</v>
      </c>
      <c r="AB40" s="17">
        <f t="shared" si="22"/>
        <v>0</v>
      </c>
      <c r="AC40" s="17">
        <f t="shared" si="22"/>
        <v>20</v>
      </c>
      <c r="AD40" s="17">
        <f t="shared" si="22"/>
        <v>1</v>
      </c>
      <c r="AE40" s="17">
        <f t="shared" si="22"/>
        <v>0</v>
      </c>
      <c r="AF40" s="17">
        <f t="shared" si="22"/>
        <v>1</v>
      </c>
      <c r="AG40" s="17">
        <f t="shared" si="22"/>
        <v>0</v>
      </c>
      <c r="AH40" s="17">
        <f t="shared" si="22"/>
        <v>0</v>
      </c>
      <c r="AI40" s="17">
        <f t="shared" si="22"/>
        <v>0</v>
      </c>
      <c r="AJ40" s="17">
        <f t="shared" si="22"/>
        <v>0</v>
      </c>
      <c r="AK40" s="17">
        <f t="shared" si="22"/>
        <v>0</v>
      </c>
      <c r="AL40" s="17">
        <f t="shared" si="22"/>
        <v>0</v>
      </c>
      <c r="AM40" s="17">
        <f t="shared" si="22"/>
        <v>0</v>
      </c>
      <c r="AN40" s="17">
        <f t="shared" si="22"/>
        <v>0</v>
      </c>
      <c r="AO40" s="17">
        <f t="shared" si="22"/>
        <v>0</v>
      </c>
    </row>
    <row r="41" spans="1:41" s="58" customFormat="1" ht="17.25" x14ac:dyDescent="0.3">
      <c r="A41" s="15"/>
      <c r="B41" s="16"/>
      <c r="C41" s="18"/>
      <c r="D41" s="18"/>
      <c r="E41" s="3"/>
      <c r="F41" s="65"/>
      <c r="G41" s="65"/>
      <c r="H41" s="65">
        <f t="shared" si="0"/>
        <v>0</v>
      </c>
      <c r="I41" s="66"/>
      <c r="J41" s="66"/>
      <c r="K41" s="66">
        <f t="shared" si="1"/>
        <v>0</v>
      </c>
      <c r="L41" s="65"/>
      <c r="M41" s="65"/>
      <c r="N41" s="65">
        <f t="shared" si="2"/>
        <v>0</v>
      </c>
      <c r="O41" s="66"/>
      <c r="P41" s="66"/>
      <c r="Q41" s="66">
        <f t="shared" si="3"/>
        <v>0</v>
      </c>
      <c r="R41" s="65"/>
      <c r="S41" s="65"/>
      <c r="T41" s="65">
        <f t="shared" si="4"/>
        <v>0</v>
      </c>
      <c r="U41" s="66"/>
      <c r="V41" s="66"/>
      <c r="W41" s="66">
        <f t="shared" si="5"/>
        <v>0</v>
      </c>
      <c r="X41" s="65"/>
      <c r="Y41" s="65"/>
      <c r="Z41" s="65">
        <f t="shared" si="6"/>
        <v>0</v>
      </c>
      <c r="AA41" s="66"/>
      <c r="AB41" s="66"/>
      <c r="AC41" s="66">
        <f t="shared" si="7"/>
        <v>0</v>
      </c>
      <c r="AD41" s="65"/>
      <c r="AE41" s="65"/>
      <c r="AF41" s="65">
        <f t="shared" si="8"/>
        <v>0</v>
      </c>
      <c r="AG41" s="66"/>
      <c r="AH41" s="66"/>
      <c r="AI41" s="66">
        <f t="shared" si="9"/>
        <v>0</v>
      </c>
      <c r="AJ41" s="65"/>
      <c r="AK41" s="65"/>
      <c r="AL41" s="65">
        <f t="shared" si="10"/>
        <v>0</v>
      </c>
      <c r="AM41" s="66"/>
      <c r="AN41" s="66"/>
      <c r="AO41" s="66">
        <f t="shared" ref="AO41" si="23">AM41+AN41</f>
        <v>0</v>
      </c>
    </row>
    <row r="42" spans="1:41" s="58" customFormat="1" ht="18" thickBot="1" x14ac:dyDescent="0.35">
      <c r="A42" s="4" t="s">
        <v>12</v>
      </c>
      <c r="B42" s="16"/>
      <c r="C42" s="23">
        <f>C33+C40</f>
        <v>49785</v>
      </c>
      <c r="D42" s="23">
        <f>D33+D40</f>
        <v>280000</v>
      </c>
      <c r="E42" s="3"/>
      <c r="F42" s="23">
        <f t="shared" ref="F42:AO42" si="24">F33+F40</f>
        <v>113111</v>
      </c>
      <c r="G42" s="23">
        <f t="shared" si="24"/>
        <v>-203880</v>
      </c>
      <c r="H42" s="23">
        <f t="shared" si="24"/>
        <v>-90769</v>
      </c>
      <c r="I42" s="23">
        <f t="shared" si="24"/>
        <v>-8629</v>
      </c>
      <c r="J42" s="23">
        <f t="shared" si="24"/>
        <v>-41540</v>
      </c>
      <c r="K42" s="23">
        <f t="shared" si="24"/>
        <v>-50169</v>
      </c>
      <c r="L42" s="23">
        <f t="shared" si="24"/>
        <v>0</v>
      </c>
      <c r="M42" s="23">
        <f t="shared" si="24"/>
        <v>0</v>
      </c>
      <c r="N42" s="23">
        <f t="shared" si="24"/>
        <v>0</v>
      </c>
      <c r="O42" s="23">
        <f t="shared" si="24"/>
        <v>-76255</v>
      </c>
      <c r="P42" s="23">
        <f t="shared" si="24"/>
        <v>-288260</v>
      </c>
      <c r="Q42" s="23">
        <f t="shared" si="24"/>
        <v>-364515</v>
      </c>
      <c r="R42" s="23">
        <f t="shared" si="24"/>
        <v>405690</v>
      </c>
      <c r="S42" s="23">
        <f t="shared" si="24"/>
        <v>140000</v>
      </c>
      <c r="T42" s="23">
        <f t="shared" si="24"/>
        <v>545690</v>
      </c>
      <c r="U42" s="23">
        <f t="shared" si="24"/>
        <v>19863</v>
      </c>
      <c r="V42" s="23">
        <f t="shared" si="24"/>
        <v>-14260</v>
      </c>
      <c r="W42" s="23">
        <f t="shared" si="24"/>
        <v>5603</v>
      </c>
      <c r="X42" s="23">
        <f t="shared" si="24"/>
        <v>4765</v>
      </c>
      <c r="Y42" s="23">
        <f t="shared" si="24"/>
        <v>0</v>
      </c>
      <c r="Z42" s="23">
        <f t="shared" si="24"/>
        <v>4765</v>
      </c>
      <c r="AA42" s="23">
        <f t="shared" si="24"/>
        <v>5024</v>
      </c>
      <c r="AB42" s="23">
        <f t="shared" si="24"/>
        <v>-7130</v>
      </c>
      <c r="AC42" s="23">
        <f t="shared" si="24"/>
        <v>-2106</v>
      </c>
      <c r="AD42" s="23">
        <f t="shared" si="24"/>
        <v>-1784</v>
      </c>
      <c r="AE42" s="23">
        <f t="shared" si="24"/>
        <v>3070</v>
      </c>
      <c r="AF42" s="23">
        <f t="shared" si="24"/>
        <v>1286</v>
      </c>
      <c r="AG42" s="23">
        <f t="shared" si="24"/>
        <v>0</v>
      </c>
      <c r="AH42" s="23">
        <f t="shared" si="24"/>
        <v>0</v>
      </c>
      <c r="AI42" s="23">
        <f t="shared" si="24"/>
        <v>0</v>
      </c>
      <c r="AJ42" s="23">
        <f t="shared" si="24"/>
        <v>0</v>
      </c>
      <c r="AK42" s="23">
        <f t="shared" si="24"/>
        <v>0</v>
      </c>
      <c r="AL42" s="23">
        <f t="shared" si="24"/>
        <v>0</v>
      </c>
      <c r="AM42" s="23">
        <f t="shared" si="24"/>
        <v>0</v>
      </c>
      <c r="AN42" s="23">
        <f t="shared" si="24"/>
        <v>0</v>
      </c>
      <c r="AO42" s="23">
        <f t="shared" si="24"/>
        <v>0</v>
      </c>
    </row>
    <row r="43" spans="1:41" s="58" customFormat="1" ht="18" thickTop="1" x14ac:dyDescent="0.3">
      <c r="A43" s="15"/>
      <c r="B43" s="16"/>
      <c r="C43" s="24"/>
      <c r="D43" s="24"/>
      <c r="E43" s="3"/>
      <c r="F43" s="65"/>
      <c r="G43" s="65"/>
      <c r="H43" s="65"/>
      <c r="I43" s="66"/>
      <c r="J43" s="66"/>
      <c r="K43" s="66"/>
      <c r="L43" s="65"/>
      <c r="M43" s="65"/>
      <c r="N43" s="65"/>
      <c r="O43" s="66"/>
      <c r="P43" s="66"/>
      <c r="Q43" s="66"/>
      <c r="R43" s="65"/>
      <c r="S43" s="65"/>
      <c r="T43" s="65"/>
      <c r="U43" s="66"/>
      <c r="V43" s="66"/>
      <c r="W43" s="66"/>
      <c r="X43" s="65"/>
      <c r="Y43" s="65"/>
      <c r="Z43" s="65"/>
      <c r="AA43" s="66"/>
      <c r="AB43" s="66"/>
      <c r="AC43" s="66"/>
      <c r="AD43" s="65"/>
      <c r="AE43" s="65"/>
      <c r="AF43" s="65"/>
      <c r="AG43" s="66"/>
      <c r="AH43" s="66"/>
      <c r="AI43" s="66"/>
      <c r="AJ43" s="65"/>
      <c r="AK43" s="65"/>
      <c r="AL43" s="65"/>
      <c r="AM43" s="66"/>
      <c r="AN43" s="66"/>
      <c r="AO43" s="66"/>
    </row>
    <row r="44" spans="1:41" s="58" customFormat="1" ht="21.95" customHeight="1" x14ac:dyDescent="0.3">
      <c r="A44" s="15"/>
      <c r="B44" s="16"/>
      <c r="C44" s="24"/>
      <c r="D44" s="24"/>
      <c r="E44" s="3"/>
      <c r="F44" s="65"/>
      <c r="G44" s="65"/>
      <c r="H44" s="65"/>
      <c r="I44" s="66"/>
      <c r="J44" s="66"/>
      <c r="K44" s="66"/>
      <c r="L44" s="65"/>
      <c r="M44" s="65"/>
      <c r="N44" s="65"/>
      <c r="O44" s="66"/>
      <c r="P44" s="66"/>
      <c r="Q44" s="66"/>
      <c r="R44" s="65"/>
      <c r="S44" s="65"/>
      <c r="T44" s="65"/>
      <c r="U44" s="66"/>
      <c r="V44" s="66"/>
      <c r="W44" s="66"/>
      <c r="X44" s="65"/>
      <c r="Y44" s="65"/>
      <c r="Z44" s="65"/>
      <c r="AA44" s="66"/>
      <c r="AB44" s="66"/>
      <c r="AC44" s="66"/>
      <c r="AD44" s="65"/>
      <c r="AE44" s="65"/>
      <c r="AF44" s="65"/>
      <c r="AG44" s="66"/>
      <c r="AH44" s="66"/>
      <c r="AI44" s="66"/>
      <c r="AJ44" s="65"/>
      <c r="AK44" s="65"/>
      <c r="AL44" s="65"/>
      <c r="AM44" s="66"/>
      <c r="AN44" s="66"/>
      <c r="AO44" s="66"/>
    </row>
    <row r="45" spans="1:41" s="58" customFormat="1" ht="17.25" x14ac:dyDescent="0.3">
      <c r="A45" s="4" t="s">
        <v>13</v>
      </c>
      <c r="B45" s="25"/>
      <c r="C45" s="26"/>
      <c r="D45" s="26"/>
      <c r="E45" s="3"/>
      <c r="F45" s="65"/>
      <c r="G45" s="65"/>
      <c r="H45" s="65"/>
      <c r="I45" s="66"/>
      <c r="J45" s="66"/>
      <c r="K45" s="66"/>
      <c r="L45" s="65"/>
      <c r="M45" s="65"/>
      <c r="N45" s="65"/>
      <c r="O45" s="66"/>
      <c r="P45" s="66"/>
      <c r="Q45" s="66"/>
      <c r="R45" s="65"/>
      <c r="S45" s="65"/>
      <c r="T45" s="65"/>
      <c r="U45" s="66"/>
      <c r="V45" s="66"/>
      <c r="W45" s="66"/>
      <c r="X45" s="65"/>
      <c r="Y45" s="65"/>
      <c r="Z45" s="65"/>
      <c r="AA45" s="66"/>
      <c r="AB45" s="66"/>
      <c r="AC45" s="66"/>
      <c r="AD45" s="65"/>
      <c r="AE45" s="65"/>
      <c r="AF45" s="65"/>
      <c r="AG45" s="66"/>
      <c r="AH45" s="66"/>
      <c r="AI45" s="66"/>
      <c r="AJ45" s="65"/>
      <c r="AK45" s="65"/>
      <c r="AL45" s="65"/>
      <c r="AM45" s="66"/>
      <c r="AN45" s="66"/>
      <c r="AO45" s="66"/>
    </row>
    <row r="46" spans="1:41" s="58" customFormat="1" ht="17.25" x14ac:dyDescent="0.3">
      <c r="A46" s="15" t="s">
        <v>14</v>
      </c>
      <c r="B46" s="16"/>
      <c r="C46" s="14">
        <f>H46+K46+N46+Q46+T46+W46+Z46+AC46+AF46+AI46+AL46+AO46</f>
        <v>49785</v>
      </c>
      <c r="D46" s="27">
        <f>D42</f>
        <v>280000</v>
      </c>
      <c r="E46" s="3"/>
      <c r="F46" s="27">
        <f>F42</f>
        <v>113111</v>
      </c>
      <c r="G46" s="27">
        <f t="shared" ref="G46:AO46" si="25">G42</f>
        <v>-203880</v>
      </c>
      <c r="H46" s="27">
        <f t="shared" si="25"/>
        <v>-90769</v>
      </c>
      <c r="I46" s="27">
        <f t="shared" si="25"/>
        <v>-8629</v>
      </c>
      <c r="J46" s="27">
        <f t="shared" si="25"/>
        <v>-41540</v>
      </c>
      <c r="K46" s="27">
        <f t="shared" si="25"/>
        <v>-50169</v>
      </c>
      <c r="L46" s="27">
        <f t="shared" si="25"/>
        <v>0</v>
      </c>
      <c r="M46" s="27">
        <f t="shared" si="25"/>
        <v>0</v>
      </c>
      <c r="N46" s="27">
        <f>L46+M46</f>
        <v>0</v>
      </c>
      <c r="O46" s="27">
        <f t="shared" si="25"/>
        <v>-76255</v>
      </c>
      <c r="P46" s="27">
        <f t="shared" si="25"/>
        <v>-288260</v>
      </c>
      <c r="Q46" s="27">
        <f t="shared" si="25"/>
        <v>-364515</v>
      </c>
      <c r="R46" s="27">
        <f t="shared" si="25"/>
        <v>405690</v>
      </c>
      <c r="S46" s="121">
        <f>S42</f>
        <v>140000</v>
      </c>
      <c r="T46" s="27">
        <f>R46+S46</f>
        <v>545690</v>
      </c>
      <c r="U46" s="27">
        <f t="shared" si="25"/>
        <v>19863</v>
      </c>
      <c r="V46" s="27">
        <f t="shared" si="25"/>
        <v>-14260</v>
      </c>
      <c r="W46" s="27">
        <f t="shared" si="25"/>
        <v>5603</v>
      </c>
      <c r="X46" s="27">
        <f t="shared" si="25"/>
        <v>4765</v>
      </c>
      <c r="Y46" s="27">
        <f t="shared" si="25"/>
        <v>0</v>
      </c>
      <c r="Z46" s="27">
        <f t="shared" si="25"/>
        <v>4765</v>
      </c>
      <c r="AA46" s="27">
        <f t="shared" si="25"/>
        <v>5024</v>
      </c>
      <c r="AB46" s="27">
        <f t="shared" si="25"/>
        <v>-7130</v>
      </c>
      <c r="AC46" s="27">
        <f t="shared" si="25"/>
        <v>-2106</v>
      </c>
      <c r="AD46" s="27">
        <f t="shared" si="25"/>
        <v>-1784</v>
      </c>
      <c r="AE46" s="27">
        <f t="shared" si="25"/>
        <v>3070</v>
      </c>
      <c r="AF46" s="27">
        <f t="shared" si="25"/>
        <v>1286</v>
      </c>
      <c r="AG46" s="27">
        <f t="shared" si="25"/>
        <v>0</v>
      </c>
      <c r="AH46" s="27">
        <f t="shared" si="25"/>
        <v>0</v>
      </c>
      <c r="AI46" s="27">
        <f t="shared" si="25"/>
        <v>0</v>
      </c>
      <c r="AJ46" s="27">
        <f t="shared" si="25"/>
        <v>0</v>
      </c>
      <c r="AK46" s="27">
        <f t="shared" si="25"/>
        <v>0</v>
      </c>
      <c r="AL46" s="27">
        <f t="shared" si="25"/>
        <v>0</v>
      </c>
      <c r="AM46" s="27">
        <f t="shared" si="25"/>
        <v>0</v>
      </c>
      <c r="AN46" s="27">
        <f t="shared" si="25"/>
        <v>0</v>
      </c>
      <c r="AO46" s="27">
        <f t="shared" si="25"/>
        <v>0</v>
      </c>
    </row>
    <row r="47" spans="1:41" s="58" customFormat="1" ht="18.95" customHeight="1" thickBot="1" x14ac:dyDescent="0.35">
      <c r="A47" s="4" t="s">
        <v>15</v>
      </c>
      <c r="B47" s="16"/>
      <c r="C47" s="23">
        <f>SUM(C46:C46)</f>
        <v>49785</v>
      </c>
      <c r="D47" s="23">
        <f>D42</f>
        <v>280000</v>
      </c>
      <c r="E47" s="3"/>
      <c r="F47" s="23">
        <f t="shared" ref="F47:AO47" si="26">SUM(F46:F46)</f>
        <v>113111</v>
      </c>
      <c r="G47" s="23">
        <f t="shared" si="26"/>
        <v>-203880</v>
      </c>
      <c r="H47" s="23">
        <f t="shared" si="26"/>
        <v>-90769</v>
      </c>
      <c r="I47" s="23">
        <f t="shared" si="26"/>
        <v>-8629</v>
      </c>
      <c r="J47" s="23">
        <f t="shared" si="26"/>
        <v>-41540</v>
      </c>
      <c r="K47" s="23">
        <f t="shared" si="26"/>
        <v>-50169</v>
      </c>
      <c r="L47" s="23">
        <f t="shared" si="26"/>
        <v>0</v>
      </c>
      <c r="M47" s="23">
        <f t="shared" si="26"/>
        <v>0</v>
      </c>
      <c r="N47" s="23">
        <f t="shared" si="26"/>
        <v>0</v>
      </c>
      <c r="O47" s="23">
        <f t="shared" si="26"/>
        <v>-76255</v>
      </c>
      <c r="P47" s="23">
        <f t="shared" si="26"/>
        <v>-288260</v>
      </c>
      <c r="Q47" s="23">
        <f t="shared" si="26"/>
        <v>-364515</v>
      </c>
      <c r="R47" s="23">
        <f t="shared" si="26"/>
        <v>405690</v>
      </c>
      <c r="S47" s="23">
        <f t="shared" si="26"/>
        <v>140000</v>
      </c>
      <c r="T47" s="23">
        <f t="shared" si="26"/>
        <v>545690</v>
      </c>
      <c r="U47" s="23">
        <f t="shared" si="26"/>
        <v>19863</v>
      </c>
      <c r="V47" s="23">
        <f t="shared" si="26"/>
        <v>-14260</v>
      </c>
      <c r="W47" s="23">
        <f t="shared" si="26"/>
        <v>5603</v>
      </c>
      <c r="X47" s="23">
        <f t="shared" si="26"/>
        <v>4765</v>
      </c>
      <c r="Y47" s="23">
        <f t="shared" si="26"/>
        <v>0</v>
      </c>
      <c r="Z47" s="23">
        <f t="shared" si="26"/>
        <v>4765</v>
      </c>
      <c r="AA47" s="23">
        <f t="shared" si="26"/>
        <v>5024</v>
      </c>
      <c r="AB47" s="23">
        <f t="shared" si="26"/>
        <v>-7130</v>
      </c>
      <c r="AC47" s="23">
        <f t="shared" si="26"/>
        <v>-2106</v>
      </c>
      <c r="AD47" s="23">
        <f t="shared" si="26"/>
        <v>-1784</v>
      </c>
      <c r="AE47" s="23">
        <f t="shared" si="26"/>
        <v>3070</v>
      </c>
      <c r="AF47" s="23">
        <f t="shared" si="26"/>
        <v>1286</v>
      </c>
      <c r="AG47" s="23">
        <f t="shared" si="26"/>
        <v>0</v>
      </c>
      <c r="AH47" s="23">
        <f t="shared" si="26"/>
        <v>0</v>
      </c>
      <c r="AI47" s="23">
        <f t="shared" si="26"/>
        <v>0</v>
      </c>
      <c r="AJ47" s="23">
        <f t="shared" si="26"/>
        <v>0</v>
      </c>
      <c r="AK47" s="23">
        <f t="shared" si="26"/>
        <v>0</v>
      </c>
      <c r="AL47" s="23">
        <f t="shared" si="26"/>
        <v>0</v>
      </c>
      <c r="AM47" s="23">
        <f t="shared" si="26"/>
        <v>0</v>
      </c>
      <c r="AN47" s="23">
        <f t="shared" si="26"/>
        <v>0</v>
      </c>
      <c r="AO47" s="23">
        <f t="shared" si="26"/>
        <v>0</v>
      </c>
    </row>
    <row r="48" spans="1:41" s="58" customFormat="1" ht="18.95" customHeight="1" thickTop="1" x14ac:dyDescent="0.3">
      <c r="A48" s="4"/>
      <c r="B48" s="16"/>
      <c r="C48" s="28"/>
      <c r="D48" s="29"/>
      <c r="E48" s="3"/>
      <c r="F48" s="65"/>
      <c r="G48" s="65"/>
      <c r="H48" s="65"/>
      <c r="I48" s="66"/>
      <c r="J48" s="66"/>
      <c r="K48" s="66"/>
      <c r="L48" s="65"/>
      <c r="M48" s="65"/>
      <c r="N48" s="65"/>
      <c r="O48" s="66"/>
      <c r="P48" s="66"/>
      <c r="Q48" s="66"/>
      <c r="R48" s="65"/>
      <c r="S48" s="65"/>
      <c r="T48" s="65"/>
      <c r="U48" s="66"/>
      <c r="V48" s="66"/>
      <c r="W48" s="66"/>
      <c r="X48" s="65"/>
      <c r="Y48" s="65"/>
      <c r="Z48" s="65"/>
      <c r="AA48" s="66"/>
      <c r="AB48" s="66"/>
      <c r="AC48" s="66"/>
      <c r="AD48" s="65"/>
      <c r="AE48" s="65"/>
      <c r="AF48" s="65"/>
      <c r="AG48" s="66"/>
      <c r="AH48" s="66"/>
      <c r="AI48" s="66"/>
      <c r="AJ48" s="65"/>
      <c r="AK48" s="65"/>
      <c r="AL48" s="65"/>
      <c r="AM48" s="66"/>
      <c r="AN48" s="66"/>
      <c r="AO48" s="66"/>
    </row>
    <row r="49" spans="1:41" s="58" customFormat="1" ht="18.95" customHeight="1" x14ac:dyDescent="0.3">
      <c r="A49" s="4"/>
      <c r="B49" s="16"/>
      <c r="C49" s="28"/>
      <c r="D49" s="29"/>
      <c r="E49" s="3"/>
      <c r="F49" s="65"/>
      <c r="G49" s="65"/>
      <c r="H49" s="65"/>
      <c r="I49" s="66"/>
      <c r="J49" s="66"/>
      <c r="K49" s="66"/>
      <c r="L49" s="65"/>
      <c r="M49" s="65"/>
      <c r="N49" s="65"/>
      <c r="O49" s="66"/>
      <c r="P49" s="66"/>
      <c r="Q49" s="66"/>
      <c r="R49" s="65"/>
      <c r="S49" s="65"/>
      <c r="T49" s="65"/>
      <c r="U49" s="66"/>
      <c r="V49" s="66"/>
      <c r="W49" s="66"/>
      <c r="X49" s="65"/>
      <c r="Y49" s="65"/>
      <c r="Z49" s="65"/>
      <c r="AA49" s="66"/>
      <c r="AB49" s="66"/>
      <c r="AC49" s="66"/>
      <c r="AD49" s="65"/>
      <c r="AE49" s="65"/>
      <c r="AF49" s="65"/>
      <c r="AG49" s="66"/>
      <c r="AH49" s="66"/>
      <c r="AI49" s="66"/>
      <c r="AJ49" s="65"/>
      <c r="AK49" s="65"/>
      <c r="AL49" s="65"/>
      <c r="AM49" s="66"/>
      <c r="AN49" s="66"/>
      <c r="AO49" s="66"/>
    </row>
    <row r="50" spans="1:41" s="58" customFormat="1" ht="30" customHeight="1" x14ac:dyDescent="0.4">
      <c r="A50" s="1" t="str">
        <f>A1</f>
        <v>Otta Idrettslag - med undergrupper</v>
      </c>
      <c r="B50" s="16"/>
      <c r="C50" s="28"/>
      <c r="D50" s="29"/>
      <c r="E50" s="3"/>
      <c r="F50" s="65"/>
      <c r="G50" s="65"/>
      <c r="H50" s="65"/>
      <c r="I50" s="66"/>
      <c r="J50" s="66"/>
      <c r="K50" s="66"/>
      <c r="L50" s="65"/>
      <c r="M50" s="65"/>
      <c r="N50" s="65"/>
      <c r="O50" s="66"/>
      <c r="P50" s="66"/>
      <c r="Q50" s="66"/>
      <c r="R50" s="65"/>
      <c r="S50" s="65"/>
      <c r="T50" s="65"/>
      <c r="U50" s="66"/>
      <c r="V50" s="66"/>
      <c r="W50" s="66"/>
      <c r="X50" s="65"/>
      <c r="Y50" s="65"/>
      <c r="Z50" s="65"/>
      <c r="AA50" s="66"/>
      <c r="AB50" s="66"/>
      <c r="AC50" s="66"/>
      <c r="AD50" s="65"/>
      <c r="AE50" s="65"/>
      <c r="AF50" s="65"/>
      <c r="AG50" s="66"/>
      <c r="AH50" s="66"/>
      <c r="AI50" s="66"/>
      <c r="AJ50" s="65"/>
      <c r="AK50" s="65"/>
      <c r="AL50" s="65"/>
      <c r="AM50" s="66"/>
      <c r="AN50" s="66"/>
      <c r="AO50" s="66"/>
    </row>
    <row r="51" spans="1:41" s="58" customFormat="1" x14ac:dyDescent="0.2">
      <c r="A51" s="15"/>
      <c r="B51" s="122"/>
      <c r="C51" s="14"/>
      <c r="D51" s="14"/>
      <c r="E51" s="3"/>
      <c r="F51" s="65"/>
      <c r="G51" s="65"/>
      <c r="H51" s="65"/>
      <c r="I51" s="66"/>
      <c r="J51" s="66"/>
      <c r="K51" s="66"/>
      <c r="L51" s="65"/>
      <c r="M51" s="65"/>
      <c r="N51" s="65"/>
      <c r="O51" s="66"/>
      <c r="P51" s="66"/>
      <c r="Q51" s="66"/>
      <c r="R51" s="65"/>
      <c r="S51" s="65"/>
      <c r="T51" s="65"/>
      <c r="U51" s="66"/>
      <c r="V51" s="66"/>
      <c r="W51" s="66"/>
      <c r="X51" s="65"/>
      <c r="Y51" s="65"/>
      <c r="Z51" s="65"/>
      <c r="AA51" s="66"/>
      <c r="AB51" s="66"/>
      <c r="AC51" s="66"/>
      <c r="AD51" s="65"/>
      <c r="AE51" s="65"/>
      <c r="AF51" s="65"/>
      <c r="AG51" s="66"/>
      <c r="AH51" s="66"/>
      <c r="AI51" s="66"/>
      <c r="AJ51" s="65"/>
      <c r="AK51" s="65"/>
      <c r="AL51" s="65"/>
      <c r="AM51" s="66"/>
      <c r="AN51" s="66"/>
      <c r="AO51" s="66"/>
    </row>
    <row r="52" spans="1:41" s="58" customFormat="1" x14ac:dyDescent="0.2">
      <c r="A52" s="4" t="s">
        <v>16</v>
      </c>
      <c r="B52" s="122"/>
      <c r="C52" s="30"/>
      <c r="D52" s="30"/>
      <c r="E52" s="3"/>
      <c r="F52" s="65"/>
      <c r="G52" s="65"/>
      <c r="H52" s="65"/>
      <c r="I52" s="66"/>
      <c r="J52" s="66"/>
      <c r="K52" s="66"/>
      <c r="L52" s="65"/>
      <c r="M52" s="65"/>
      <c r="N52" s="65"/>
      <c r="O52" s="66"/>
      <c r="P52" s="66"/>
      <c r="Q52" s="66"/>
      <c r="R52" s="65"/>
      <c r="S52" s="65"/>
      <c r="T52" s="65"/>
      <c r="U52" s="66"/>
      <c r="V52" s="66"/>
      <c r="W52" s="66"/>
      <c r="X52" s="65"/>
      <c r="Y52" s="65"/>
      <c r="Z52" s="65"/>
      <c r="AA52" s="66"/>
      <c r="AB52" s="66"/>
      <c r="AC52" s="66"/>
      <c r="AD52" s="65"/>
      <c r="AE52" s="65"/>
      <c r="AF52" s="65"/>
      <c r="AG52" s="66"/>
      <c r="AH52" s="66"/>
      <c r="AI52" s="66"/>
      <c r="AJ52" s="65"/>
      <c r="AK52" s="65"/>
      <c r="AL52" s="65"/>
      <c r="AM52" s="66"/>
      <c r="AN52" s="66"/>
      <c r="AO52" s="66"/>
    </row>
    <row r="53" spans="1:41" s="58" customFormat="1" x14ac:dyDescent="0.2">
      <c r="A53" s="31"/>
      <c r="B53" s="32"/>
      <c r="C53" s="33">
        <f>C4</f>
        <v>2018</v>
      </c>
      <c r="D53" s="34"/>
      <c r="E53" s="3"/>
      <c r="F53" s="65"/>
      <c r="G53" s="65"/>
      <c r="H53" s="65"/>
      <c r="I53" s="66"/>
      <c r="J53" s="66"/>
      <c r="K53" s="66"/>
      <c r="L53" s="65"/>
      <c r="M53" s="65"/>
      <c r="N53" s="65"/>
      <c r="O53" s="66"/>
      <c r="P53" s="66"/>
      <c r="Q53" s="66"/>
      <c r="R53" s="65"/>
      <c r="S53" s="65"/>
      <c r="T53" s="65"/>
      <c r="U53" s="66"/>
      <c r="V53" s="66"/>
      <c r="W53" s="66"/>
      <c r="X53" s="65"/>
      <c r="Y53" s="65"/>
      <c r="Z53" s="65"/>
      <c r="AA53" s="66"/>
      <c r="AB53" s="66"/>
      <c r="AC53" s="66"/>
      <c r="AD53" s="65"/>
      <c r="AE53" s="65"/>
      <c r="AF53" s="65"/>
      <c r="AG53" s="66"/>
      <c r="AH53" s="66"/>
      <c r="AI53" s="66"/>
      <c r="AJ53" s="65"/>
      <c r="AK53" s="65"/>
      <c r="AL53" s="65"/>
      <c r="AM53" s="66"/>
      <c r="AN53" s="66"/>
      <c r="AO53" s="66"/>
    </row>
    <row r="54" spans="1:41" s="58" customFormat="1" ht="15.75" x14ac:dyDescent="0.25">
      <c r="A54" s="35" t="s">
        <v>17</v>
      </c>
      <c r="B54" s="36" t="s">
        <v>4</v>
      </c>
      <c r="C54" s="37"/>
      <c r="D54" s="38"/>
      <c r="E54" s="3"/>
      <c r="F54" s="65"/>
      <c r="G54" s="65"/>
      <c r="H54" s="65"/>
      <c r="I54" s="66"/>
      <c r="J54" s="66"/>
      <c r="K54" s="66"/>
      <c r="L54" s="65"/>
      <c r="M54" s="65"/>
      <c r="N54" s="65"/>
      <c r="O54" s="66"/>
      <c r="P54" s="66"/>
      <c r="Q54" s="66"/>
      <c r="R54" s="65"/>
      <c r="S54" s="65"/>
      <c r="T54" s="65"/>
      <c r="U54" s="66"/>
      <c r="V54" s="66"/>
      <c r="W54" s="66"/>
      <c r="X54" s="65"/>
      <c r="Y54" s="65"/>
      <c r="Z54" s="65"/>
      <c r="AA54" s="66"/>
      <c r="AB54" s="66"/>
      <c r="AC54" s="66"/>
      <c r="AD54" s="65"/>
      <c r="AE54" s="65"/>
      <c r="AF54" s="65"/>
      <c r="AG54" s="66"/>
      <c r="AH54" s="66"/>
      <c r="AI54" s="66"/>
      <c r="AJ54" s="65"/>
      <c r="AK54" s="65"/>
      <c r="AL54" s="65"/>
      <c r="AM54" s="66"/>
      <c r="AN54" s="66"/>
      <c r="AO54" s="66"/>
    </row>
    <row r="55" spans="1:41" s="58" customFormat="1" ht="19.5" customHeight="1" x14ac:dyDescent="0.25">
      <c r="A55" s="39"/>
      <c r="B55" s="40"/>
      <c r="C55" s="41"/>
      <c r="D55" s="38"/>
      <c r="E55" s="3"/>
      <c r="F55" s="65"/>
      <c r="G55" s="65"/>
      <c r="H55" s="65"/>
      <c r="I55" s="66"/>
      <c r="J55" s="66"/>
      <c r="K55" s="66"/>
      <c r="L55" s="65"/>
      <c r="M55" s="65"/>
      <c r="N55" s="65"/>
      <c r="O55" s="66"/>
      <c r="P55" s="66"/>
      <c r="Q55" s="66"/>
      <c r="R55" s="65"/>
      <c r="S55" s="65"/>
      <c r="T55" s="65"/>
      <c r="U55" s="66"/>
      <c r="V55" s="66"/>
      <c r="W55" s="66"/>
      <c r="X55" s="65"/>
      <c r="Y55" s="65"/>
      <c r="Z55" s="65"/>
      <c r="AA55" s="66"/>
      <c r="AB55" s="66"/>
      <c r="AC55" s="66"/>
      <c r="AD55" s="65"/>
      <c r="AE55" s="65"/>
      <c r="AF55" s="65"/>
      <c r="AG55" s="66"/>
      <c r="AH55" s="66"/>
      <c r="AI55" s="66"/>
      <c r="AJ55" s="65"/>
      <c r="AK55" s="65"/>
      <c r="AL55" s="65"/>
      <c r="AM55" s="66"/>
      <c r="AN55" s="66"/>
      <c r="AO55" s="66"/>
    </row>
    <row r="56" spans="1:41" s="58" customFormat="1" ht="15.75" x14ac:dyDescent="0.25">
      <c r="A56" s="4" t="s">
        <v>18</v>
      </c>
      <c r="B56" s="16"/>
      <c r="C56" s="41"/>
      <c r="D56" s="42"/>
      <c r="E56" s="3"/>
      <c r="F56" s="65"/>
      <c r="G56" s="65"/>
      <c r="H56" s="65"/>
      <c r="I56" s="66"/>
      <c r="J56" s="66"/>
      <c r="K56" s="66"/>
      <c r="L56" s="65"/>
      <c r="M56" s="65"/>
      <c r="N56" s="65"/>
      <c r="O56" s="66"/>
      <c r="P56" s="66"/>
      <c r="Q56" s="66"/>
      <c r="R56" s="65"/>
      <c r="S56" s="65"/>
      <c r="T56" s="65"/>
      <c r="U56" s="66"/>
      <c r="V56" s="66"/>
      <c r="W56" s="66"/>
      <c r="X56" s="65"/>
      <c r="Y56" s="65"/>
      <c r="Z56" s="65"/>
      <c r="AA56" s="66"/>
      <c r="AB56" s="66"/>
      <c r="AC56" s="66"/>
      <c r="AD56" s="65"/>
      <c r="AE56" s="65"/>
      <c r="AF56" s="65"/>
      <c r="AG56" s="66"/>
      <c r="AH56" s="66"/>
      <c r="AI56" s="66"/>
      <c r="AJ56" s="65"/>
      <c r="AK56" s="65"/>
      <c r="AL56" s="65"/>
      <c r="AM56" s="66"/>
      <c r="AN56" s="66"/>
      <c r="AO56" s="66"/>
    </row>
    <row r="57" spans="1:41" s="58" customFormat="1" ht="14.1" customHeight="1" x14ac:dyDescent="0.3">
      <c r="A57" s="15"/>
      <c r="B57" s="16"/>
      <c r="C57" s="41"/>
      <c r="D57" s="28"/>
      <c r="E57" s="3"/>
      <c r="F57" s="65"/>
      <c r="G57" s="65"/>
      <c r="H57" s="65"/>
      <c r="I57" s="66"/>
      <c r="J57" s="66"/>
      <c r="K57" s="66"/>
      <c r="L57" s="65"/>
      <c r="M57" s="65"/>
      <c r="N57" s="65"/>
      <c r="O57" s="66"/>
      <c r="P57" s="66"/>
      <c r="Q57" s="66"/>
      <c r="R57" s="65"/>
      <c r="S57" s="65"/>
      <c r="T57" s="65"/>
      <c r="U57" s="66"/>
      <c r="V57" s="66"/>
      <c r="W57" s="66"/>
      <c r="X57" s="65"/>
      <c r="Y57" s="65"/>
      <c r="Z57" s="65"/>
      <c r="AA57" s="66"/>
      <c r="AB57" s="66"/>
      <c r="AC57" s="66"/>
      <c r="AD57" s="65"/>
      <c r="AE57" s="65"/>
      <c r="AF57" s="65"/>
      <c r="AG57" s="66"/>
      <c r="AH57" s="66"/>
      <c r="AI57" s="66"/>
      <c r="AJ57" s="65"/>
      <c r="AK57" s="65"/>
      <c r="AL57" s="65"/>
      <c r="AM57" s="66"/>
      <c r="AN57" s="66"/>
      <c r="AO57" s="66"/>
    </row>
    <row r="58" spans="1:41" s="58" customFormat="1" ht="15.75" x14ac:dyDescent="0.25">
      <c r="A58" s="70" t="s">
        <v>70</v>
      </c>
      <c r="B58" s="16"/>
      <c r="C58" s="41"/>
      <c r="D58" s="42"/>
      <c r="E58" s="3"/>
      <c r="F58" s="65"/>
      <c r="G58" s="65"/>
      <c r="H58" s="65"/>
      <c r="I58" s="66"/>
      <c r="J58" s="66"/>
      <c r="K58" s="66"/>
      <c r="L58" s="65"/>
      <c r="M58" s="65"/>
      <c r="N58" s="65"/>
      <c r="O58" s="66"/>
      <c r="P58" s="66"/>
      <c r="Q58" s="66"/>
      <c r="R58" s="65"/>
      <c r="S58" s="65"/>
      <c r="T58" s="65"/>
      <c r="U58" s="66"/>
      <c r="V58" s="66"/>
      <c r="W58" s="66"/>
      <c r="X58" s="65"/>
      <c r="Y58" s="65"/>
      <c r="Z58" s="65"/>
      <c r="AA58" s="66"/>
      <c r="AB58" s="66"/>
      <c r="AC58" s="66"/>
      <c r="AD58" s="65"/>
      <c r="AE58" s="65"/>
      <c r="AF58" s="65"/>
      <c r="AG58" s="66"/>
      <c r="AH58" s="66"/>
      <c r="AI58" s="66"/>
      <c r="AJ58" s="65"/>
      <c r="AK58" s="65"/>
      <c r="AL58" s="65"/>
      <c r="AM58" s="66"/>
      <c r="AN58" s="66"/>
      <c r="AO58" s="66"/>
    </row>
    <row r="59" spans="1:41" s="58" customFormat="1" ht="15.75" x14ac:dyDescent="0.25">
      <c r="A59" s="68" t="s">
        <v>66</v>
      </c>
      <c r="B59" s="16"/>
      <c r="C59" s="14">
        <f>H59+K59+N59+Q59+T59+W59+Z59+AC59+AF59+AI59+AL59+AO59</f>
        <v>1960300</v>
      </c>
      <c r="D59" s="42"/>
      <c r="E59" s="3"/>
      <c r="F59" s="134">
        <v>1960300</v>
      </c>
      <c r="G59" s="65"/>
      <c r="H59" s="65">
        <f t="shared" ref="H59:H95" si="27">F59+G59</f>
        <v>1960300</v>
      </c>
      <c r="I59" s="132">
        <v>0</v>
      </c>
      <c r="J59" s="66"/>
      <c r="K59" s="66">
        <f t="shared" ref="K59:K95" si="28">I59+J59</f>
        <v>0</v>
      </c>
      <c r="L59" s="132">
        <v>0</v>
      </c>
      <c r="M59" s="65"/>
      <c r="N59" s="65">
        <f t="shared" ref="N59:N95" si="29">L59+M59</f>
        <v>0</v>
      </c>
      <c r="O59" s="132">
        <v>0</v>
      </c>
      <c r="P59" s="66"/>
      <c r="Q59" s="66">
        <f t="shared" ref="Q59:Q95" si="30">O59+P59</f>
        <v>0</v>
      </c>
      <c r="R59" s="132">
        <v>0</v>
      </c>
      <c r="S59" s="65"/>
      <c r="T59" s="65">
        <f t="shared" ref="T59:T95" si="31">R59+S59</f>
        <v>0</v>
      </c>
      <c r="U59" s="66"/>
      <c r="V59" s="66"/>
      <c r="W59" s="66">
        <f t="shared" ref="W59:W95" si="32">U59+V59</f>
        <v>0</v>
      </c>
      <c r="X59" s="65"/>
      <c r="Y59" s="65"/>
      <c r="Z59" s="65">
        <f t="shared" ref="Z59:Z95" si="33">X59+Y59</f>
        <v>0</v>
      </c>
      <c r="AA59" s="66"/>
      <c r="AB59" s="66"/>
      <c r="AC59" s="66">
        <f t="shared" ref="AC59:AC95" si="34">AA59+AB59</f>
        <v>0</v>
      </c>
      <c r="AD59" s="65"/>
      <c r="AE59" s="65"/>
      <c r="AF59" s="65">
        <f t="shared" ref="AF59:AF95" si="35">AD59+AE59</f>
        <v>0</v>
      </c>
      <c r="AG59" s="66"/>
      <c r="AH59" s="66"/>
      <c r="AI59" s="66">
        <f t="shared" ref="AI59:AI95" si="36">AG59+AH59</f>
        <v>0</v>
      </c>
      <c r="AJ59" s="65"/>
      <c r="AK59" s="65"/>
      <c r="AL59" s="65">
        <f t="shared" ref="AL59:AL95" si="37">AJ59+AK59</f>
        <v>0</v>
      </c>
      <c r="AM59" s="66"/>
      <c r="AN59" s="66"/>
      <c r="AO59" s="66">
        <f t="shared" ref="AO59:AO60" si="38">AM59+AN59</f>
        <v>0</v>
      </c>
    </row>
    <row r="60" spans="1:41" s="58" customFormat="1" ht="17.25" x14ac:dyDescent="0.3">
      <c r="A60" s="68" t="s">
        <v>67</v>
      </c>
      <c r="B60" s="16"/>
      <c r="C60" s="14">
        <f>H60+K60+N60+Q60+T60+W60+Z60+AC60+AF60+AI60+AL60+AO60</f>
        <v>31700</v>
      </c>
      <c r="D60" s="24"/>
      <c r="E60" s="3"/>
      <c r="F60" s="134">
        <v>10000</v>
      </c>
      <c r="G60" s="65"/>
      <c r="H60" s="65">
        <f t="shared" si="27"/>
        <v>10000</v>
      </c>
      <c r="I60" s="132">
        <v>0</v>
      </c>
      <c r="J60" s="66"/>
      <c r="K60" s="66">
        <f t="shared" si="28"/>
        <v>0</v>
      </c>
      <c r="L60" s="132">
        <v>0</v>
      </c>
      <c r="M60" s="65"/>
      <c r="N60" s="65">
        <f t="shared" si="29"/>
        <v>0</v>
      </c>
      <c r="O60" s="132">
        <v>0</v>
      </c>
      <c r="P60" s="66"/>
      <c r="Q60" s="66">
        <f t="shared" si="30"/>
        <v>0</v>
      </c>
      <c r="R60" s="132">
        <v>21700</v>
      </c>
      <c r="S60" s="65"/>
      <c r="T60" s="65">
        <f t="shared" si="31"/>
        <v>21700</v>
      </c>
      <c r="U60" s="66"/>
      <c r="V60" s="66"/>
      <c r="W60" s="66">
        <f t="shared" si="32"/>
        <v>0</v>
      </c>
      <c r="X60" s="65"/>
      <c r="Y60" s="65"/>
      <c r="Z60" s="65">
        <f t="shared" si="33"/>
        <v>0</v>
      </c>
      <c r="AA60" s="66"/>
      <c r="AB60" s="66"/>
      <c r="AC60" s="66">
        <f t="shared" si="34"/>
        <v>0</v>
      </c>
      <c r="AD60" s="65"/>
      <c r="AE60" s="65"/>
      <c r="AF60" s="65">
        <f t="shared" si="35"/>
        <v>0</v>
      </c>
      <c r="AG60" s="66"/>
      <c r="AH60" s="66"/>
      <c r="AI60" s="66">
        <f t="shared" si="36"/>
        <v>0</v>
      </c>
      <c r="AJ60" s="65"/>
      <c r="AK60" s="65"/>
      <c r="AL60" s="65">
        <f t="shared" si="37"/>
        <v>0</v>
      </c>
      <c r="AM60" s="66"/>
      <c r="AN60" s="66"/>
      <c r="AO60" s="66">
        <f t="shared" si="38"/>
        <v>0</v>
      </c>
    </row>
    <row r="61" spans="1:41" s="58" customFormat="1" ht="17.25" x14ac:dyDescent="0.3">
      <c r="A61" s="4" t="s">
        <v>19</v>
      </c>
      <c r="B61" s="16"/>
      <c r="C61" s="17">
        <f>SUM(C59:C60)</f>
        <v>1992000</v>
      </c>
      <c r="D61" s="28"/>
      <c r="E61" s="3"/>
      <c r="F61" s="17">
        <f>SUM(F59:F60)</f>
        <v>1970300</v>
      </c>
      <c r="G61" s="17">
        <f t="shared" ref="G61:AO61" si="39">SUM(G59:G60)</f>
        <v>0</v>
      </c>
      <c r="H61" s="17">
        <f t="shared" si="39"/>
        <v>1970300</v>
      </c>
      <c r="I61" s="17">
        <f t="shared" si="39"/>
        <v>0</v>
      </c>
      <c r="J61" s="17">
        <f t="shared" si="39"/>
        <v>0</v>
      </c>
      <c r="K61" s="17">
        <f t="shared" si="39"/>
        <v>0</v>
      </c>
      <c r="L61" s="17">
        <f t="shared" si="39"/>
        <v>0</v>
      </c>
      <c r="M61" s="17">
        <f t="shared" si="39"/>
        <v>0</v>
      </c>
      <c r="N61" s="17">
        <f t="shared" si="39"/>
        <v>0</v>
      </c>
      <c r="O61" s="17">
        <f t="shared" si="39"/>
        <v>0</v>
      </c>
      <c r="P61" s="17">
        <f t="shared" si="39"/>
        <v>0</v>
      </c>
      <c r="Q61" s="17">
        <f t="shared" si="39"/>
        <v>0</v>
      </c>
      <c r="R61" s="17">
        <f t="shared" si="39"/>
        <v>21700</v>
      </c>
      <c r="S61" s="17">
        <f t="shared" si="39"/>
        <v>0</v>
      </c>
      <c r="T61" s="17">
        <f t="shared" si="39"/>
        <v>21700</v>
      </c>
      <c r="U61" s="17">
        <f t="shared" si="39"/>
        <v>0</v>
      </c>
      <c r="V61" s="17">
        <f t="shared" si="39"/>
        <v>0</v>
      </c>
      <c r="W61" s="17">
        <f t="shared" si="39"/>
        <v>0</v>
      </c>
      <c r="X61" s="17">
        <f t="shared" si="39"/>
        <v>0</v>
      </c>
      <c r="Y61" s="17">
        <f t="shared" si="39"/>
        <v>0</v>
      </c>
      <c r="Z61" s="17">
        <f t="shared" si="39"/>
        <v>0</v>
      </c>
      <c r="AA61" s="17">
        <f t="shared" si="39"/>
        <v>0</v>
      </c>
      <c r="AB61" s="17">
        <f t="shared" si="39"/>
        <v>0</v>
      </c>
      <c r="AC61" s="17">
        <f t="shared" si="39"/>
        <v>0</v>
      </c>
      <c r="AD61" s="17">
        <f t="shared" si="39"/>
        <v>0</v>
      </c>
      <c r="AE61" s="17">
        <f t="shared" si="39"/>
        <v>0</v>
      </c>
      <c r="AF61" s="17">
        <f t="shared" si="39"/>
        <v>0</v>
      </c>
      <c r="AG61" s="17">
        <f t="shared" si="39"/>
        <v>0</v>
      </c>
      <c r="AH61" s="17">
        <f t="shared" si="39"/>
        <v>0</v>
      </c>
      <c r="AI61" s="17">
        <f t="shared" si="39"/>
        <v>0</v>
      </c>
      <c r="AJ61" s="17">
        <f t="shared" si="39"/>
        <v>0</v>
      </c>
      <c r="AK61" s="17">
        <f t="shared" si="39"/>
        <v>0</v>
      </c>
      <c r="AL61" s="17">
        <f t="shared" si="39"/>
        <v>0</v>
      </c>
      <c r="AM61" s="17">
        <f t="shared" si="39"/>
        <v>0</v>
      </c>
      <c r="AN61" s="17">
        <f t="shared" si="39"/>
        <v>0</v>
      </c>
      <c r="AO61" s="17">
        <f t="shared" si="39"/>
        <v>0</v>
      </c>
    </row>
    <row r="62" spans="1:41" s="58" customFormat="1" ht="17.25" x14ac:dyDescent="0.3">
      <c r="A62" s="4"/>
      <c r="B62" s="16"/>
      <c r="C62" s="19"/>
      <c r="D62" s="28"/>
      <c r="E62" s="3"/>
      <c r="F62" s="65"/>
      <c r="G62" s="65"/>
      <c r="H62" s="65"/>
      <c r="I62" s="66"/>
      <c r="J62" s="66"/>
      <c r="K62" s="66"/>
      <c r="L62" s="65"/>
      <c r="M62" s="65"/>
      <c r="N62" s="65"/>
      <c r="O62" s="66"/>
      <c r="P62" s="66"/>
      <c r="Q62" s="66"/>
      <c r="R62" s="65"/>
      <c r="S62" s="65"/>
      <c r="T62" s="65"/>
      <c r="U62" s="66"/>
      <c r="V62" s="66"/>
      <c r="W62" s="66"/>
      <c r="X62" s="65"/>
      <c r="Y62" s="65"/>
      <c r="Z62" s="65"/>
      <c r="AA62" s="66"/>
      <c r="AB62" s="66"/>
      <c r="AC62" s="66"/>
      <c r="AD62" s="65"/>
      <c r="AE62" s="65"/>
      <c r="AF62" s="65"/>
      <c r="AG62" s="66"/>
      <c r="AH62" s="66"/>
      <c r="AI62" s="66"/>
      <c r="AJ62" s="65"/>
      <c r="AK62" s="65"/>
      <c r="AL62" s="65"/>
      <c r="AM62" s="66"/>
      <c r="AN62" s="66"/>
      <c r="AO62" s="66"/>
    </row>
    <row r="63" spans="1:41" s="58" customFormat="1" ht="17.25" x14ac:dyDescent="0.3">
      <c r="A63" s="70" t="s">
        <v>71</v>
      </c>
      <c r="B63" s="16"/>
      <c r="C63" s="19"/>
      <c r="D63" s="28"/>
      <c r="E63" s="3"/>
      <c r="F63" s="65"/>
      <c r="G63" s="65"/>
      <c r="H63" s="65"/>
      <c r="I63" s="66"/>
      <c r="J63" s="66"/>
      <c r="K63" s="66"/>
      <c r="L63" s="65"/>
      <c r="M63" s="65"/>
      <c r="N63" s="65"/>
      <c r="O63" s="66"/>
      <c r="P63" s="66"/>
      <c r="Q63" s="66"/>
      <c r="R63" s="65"/>
      <c r="S63" s="65"/>
      <c r="T63" s="65"/>
      <c r="U63" s="66"/>
      <c r="V63" s="66"/>
      <c r="W63" s="66"/>
      <c r="X63" s="65"/>
      <c r="Y63" s="65"/>
      <c r="Z63" s="65"/>
      <c r="AA63" s="66"/>
      <c r="AB63" s="66"/>
      <c r="AC63" s="66"/>
      <c r="AD63" s="65"/>
      <c r="AE63" s="65"/>
      <c r="AF63" s="65"/>
      <c r="AG63" s="66"/>
      <c r="AH63" s="66"/>
      <c r="AI63" s="66"/>
      <c r="AJ63" s="65"/>
      <c r="AK63" s="65"/>
      <c r="AL63" s="65"/>
      <c r="AM63" s="66"/>
      <c r="AN63" s="66"/>
      <c r="AO63" s="66"/>
    </row>
    <row r="64" spans="1:41" s="58" customFormat="1" ht="17.25" x14ac:dyDescent="0.3">
      <c r="A64" s="68" t="s">
        <v>72</v>
      </c>
      <c r="B64" s="16"/>
      <c r="C64" s="14">
        <f>H64+K64+N64+Q64+T64+W64+Z64+AC64+AF64+AI64+AL64+AO64</f>
        <v>0</v>
      </c>
      <c r="D64" s="28"/>
      <c r="E64" s="3"/>
      <c r="F64" s="65">
        <v>0</v>
      </c>
      <c r="G64" s="65"/>
      <c r="H64" s="65">
        <f t="shared" si="27"/>
        <v>0</v>
      </c>
      <c r="I64" s="66">
        <v>0</v>
      </c>
      <c r="J64" s="66"/>
      <c r="K64" s="66"/>
      <c r="L64" s="65">
        <v>0</v>
      </c>
      <c r="M64" s="65"/>
      <c r="N64" s="65"/>
      <c r="O64" s="66">
        <v>0</v>
      </c>
      <c r="P64" s="66"/>
      <c r="Q64" s="66"/>
      <c r="R64" s="65">
        <v>0</v>
      </c>
      <c r="S64" s="65"/>
      <c r="T64" s="65"/>
      <c r="U64" s="66"/>
      <c r="V64" s="66"/>
      <c r="W64" s="66"/>
      <c r="X64" s="65"/>
      <c r="Y64" s="65"/>
      <c r="Z64" s="65"/>
      <c r="AA64" s="66"/>
      <c r="AB64" s="66"/>
      <c r="AC64" s="66"/>
      <c r="AD64" s="65"/>
      <c r="AE64" s="65"/>
      <c r="AF64" s="65"/>
      <c r="AG64" s="66"/>
      <c r="AH64" s="66"/>
      <c r="AI64" s="66"/>
      <c r="AJ64" s="65"/>
      <c r="AK64" s="65"/>
      <c r="AL64" s="65"/>
      <c r="AM64" s="66"/>
      <c r="AN64" s="66"/>
      <c r="AO64" s="66"/>
    </row>
    <row r="65" spans="1:41" s="58" customFormat="1" ht="17.25" x14ac:dyDescent="0.3">
      <c r="A65" s="71" t="s">
        <v>73</v>
      </c>
      <c r="B65" s="16"/>
      <c r="C65" s="17">
        <f>SUM(C63:C64)</f>
        <v>0</v>
      </c>
      <c r="D65" s="28"/>
      <c r="E65" s="3"/>
      <c r="F65" s="17">
        <f>SUM(F63:F64)</f>
        <v>0</v>
      </c>
      <c r="G65" s="17">
        <f t="shared" ref="G65:AO65" si="40">SUM(G63:G64)</f>
        <v>0</v>
      </c>
      <c r="H65" s="17">
        <f t="shared" si="40"/>
        <v>0</v>
      </c>
      <c r="I65" s="17">
        <f t="shared" si="40"/>
        <v>0</v>
      </c>
      <c r="J65" s="17">
        <f t="shared" si="40"/>
        <v>0</v>
      </c>
      <c r="K65" s="17">
        <f t="shared" si="40"/>
        <v>0</v>
      </c>
      <c r="L65" s="17">
        <f t="shared" si="40"/>
        <v>0</v>
      </c>
      <c r="M65" s="17">
        <f t="shared" si="40"/>
        <v>0</v>
      </c>
      <c r="N65" s="17">
        <f t="shared" si="40"/>
        <v>0</v>
      </c>
      <c r="O65" s="17">
        <f t="shared" si="40"/>
        <v>0</v>
      </c>
      <c r="P65" s="17">
        <f t="shared" si="40"/>
        <v>0</v>
      </c>
      <c r="Q65" s="17">
        <f t="shared" si="40"/>
        <v>0</v>
      </c>
      <c r="R65" s="17">
        <f t="shared" si="40"/>
        <v>0</v>
      </c>
      <c r="S65" s="17">
        <f t="shared" si="40"/>
        <v>0</v>
      </c>
      <c r="T65" s="17">
        <f t="shared" si="40"/>
        <v>0</v>
      </c>
      <c r="U65" s="17">
        <f t="shared" si="40"/>
        <v>0</v>
      </c>
      <c r="V65" s="17">
        <f t="shared" si="40"/>
        <v>0</v>
      </c>
      <c r="W65" s="17">
        <f t="shared" si="40"/>
        <v>0</v>
      </c>
      <c r="X65" s="17">
        <f t="shared" si="40"/>
        <v>0</v>
      </c>
      <c r="Y65" s="17">
        <f t="shared" si="40"/>
        <v>0</v>
      </c>
      <c r="Z65" s="17">
        <f t="shared" si="40"/>
        <v>0</v>
      </c>
      <c r="AA65" s="17">
        <f t="shared" si="40"/>
        <v>0</v>
      </c>
      <c r="AB65" s="17">
        <f t="shared" si="40"/>
        <v>0</v>
      </c>
      <c r="AC65" s="17">
        <f t="shared" si="40"/>
        <v>0</v>
      </c>
      <c r="AD65" s="17">
        <f t="shared" si="40"/>
        <v>0</v>
      </c>
      <c r="AE65" s="17">
        <f t="shared" si="40"/>
        <v>0</v>
      </c>
      <c r="AF65" s="17">
        <f t="shared" si="40"/>
        <v>0</v>
      </c>
      <c r="AG65" s="17">
        <f t="shared" si="40"/>
        <v>0</v>
      </c>
      <c r="AH65" s="17">
        <f t="shared" si="40"/>
        <v>0</v>
      </c>
      <c r="AI65" s="17">
        <f t="shared" si="40"/>
        <v>0</v>
      </c>
      <c r="AJ65" s="17">
        <f t="shared" si="40"/>
        <v>0</v>
      </c>
      <c r="AK65" s="17">
        <f t="shared" si="40"/>
        <v>0</v>
      </c>
      <c r="AL65" s="17">
        <f t="shared" si="40"/>
        <v>0</v>
      </c>
      <c r="AM65" s="17">
        <f t="shared" si="40"/>
        <v>0</v>
      </c>
      <c r="AN65" s="17">
        <f t="shared" si="40"/>
        <v>0</v>
      </c>
      <c r="AO65" s="17">
        <f t="shared" si="40"/>
        <v>0</v>
      </c>
    </row>
    <row r="66" spans="1:41" s="58" customFormat="1" ht="18.95" customHeight="1" x14ac:dyDescent="0.3">
      <c r="A66" s="70" t="s">
        <v>68</v>
      </c>
      <c r="B66" s="16"/>
      <c r="C66" s="17">
        <f>C61+C65</f>
        <v>1992000</v>
      </c>
      <c r="D66" s="28"/>
      <c r="E66" s="3"/>
      <c r="F66" s="17">
        <f>F61+F65</f>
        <v>1970300</v>
      </c>
      <c r="G66" s="17">
        <f t="shared" ref="G66:AO66" si="41">G61+G65</f>
        <v>0</v>
      </c>
      <c r="H66" s="17">
        <f t="shared" si="41"/>
        <v>1970300</v>
      </c>
      <c r="I66" s="17">
        <f t="shared" si="41"/>
        <v>0</v>
      </c>
      <c r="J66" s="17">
        <f t="shared" si="41"/>
        <v>0</v>
      </c>
      <c r="K66" s="17">
        <f t="shared" si="41"/>
        <v>0</v>
      </c>
      <c r="L66" s="17">
        <f t="shared" si="41"/>
        <v>0</v>
      </c>
      <c r="M66" s="17">
        <f t="shared" si="41"/>
        <v>0</v>
      </c>
      <c r="N66" s="17">
        <f t="shared" si="41"/>
        <v>0</v>
      </c>
      <c r="O66" s="17">
        <f t="shared" si="41"/>
        <v>0</v>
      </c>
      <c r="P66" s="17">
        <f t="shared" si="41"/>
        <v>0</v>
      </c>
      <c r="Q66" s="17">
        <f t="shared" si="41"/>
        <v>0</v>
      </c>
      <c r="R66" s="17">
        <f t="shared" si="41"/>
        <v>21700</v>
      </c>
      <c r="S66" s="17">
        <f t="shared" si="41"/>
        <v>0</v>
      </c>
      <c r="T66" s="17">
        <f t="shared" si="41"/>
        <v>21700</v>
      </c>
      <c r="U66" s="17">
        <f t="shared" si="41"/>
        <v>0</v>
      </c>
      <c r="V66" s="17">
        <f t="shared" si="41"/>
        <v>0</v>
      </c>
      <c r="W66" s="17">
        <f t="shared" si="41"/>
        <v>0</v>
      </c>
      <c r="X66" s="17">
        <f t="shared" si="41"/>
        <v>0</v>
      </c>
      <c r="Y66" s="17">
        <f t="shared" si="41"/>
        <v>0</v>
      </c>
      <c r="Z66" s="17">
        <f t="shared" si="41"/>
        <v>0</v>
      </c>
      <c r="AA66" s="17">
        <f t="shared" si="41"/>
        <v>0</v>
      </c>
      <c r="AB66" s="17">
        <f t="shared" si="41"/>
        <v>0</v>
      </c>
      <c r="AC66" s="17">
        <f t="shared" si="41"/>
        <v>0</v>
      </c>
      <c r="AD66" s="17">
        <f t="shared" si="41"/>
        <v>0</v>
      </c>
      <c r="AE66" s="17">
        <f t="shared" si="41"/>
        <v>0</v>
      </c>
      <c r="AF66" s="17">
        <f t="shared" si="41"/>
        <v>0</v>
      </c>
      <c r="AG66" s="17">
        <f t="shared" si="41"/>
        <v>0</v>
      </c>
      <c r="AH66" s="17">
        <f t="shared" si="41"/>
        <v>0</v>
      </c>
      <c r="AI66" s="17">
        <f t="shared" si="41"/>
        <v>0</v>
      </c>
      <c r="AJ66" s="17">
        <f t="shared" si="41"/>
        <v>0</v>
      </c>
      <c r="AK66" s="17">
        <f t="shared" si="41"/>
        <v>0</v>
      </c>
      <c r="AL66" s="17">
        <f t="shared" si="41"/>
        <v>0</v>
      </c>
      <c r="AM66" s="17">
        <f t="shared" si="41"/>
        <v>0</v>
      </c>
      <c r="AN66" s="17">
        <f t="shared" si="41"/>
        <v>0</v>
      </c>
      <c r="AO66" s="17">
        <f t="shared" si="41"/>
        <v>0</v>
      </c>
    </row>
    <row r="67" spans="1:41" s="58" customFormat="1" ht="18.95" customHeight="1" x14ac:dyDescent="0.3">
      <c r="A67" s="15"/>
      <c r="B67" s="16"/>
      <c r="C67" s="28"/>
      <c r="D67" s="28"/>
      <c r="E67" s="3"/>
      <c r="F67" s="65"/>
      <c r="G67" s="65"/>
      <c r="H67" s="65"/>
      <c r="I67" s="66"/>
      <c r="J67" s="66"/>
      <c r="K67" s="66"/>
      <c r="L67" s="65"/>
      <c r="M67" s="65"/>
      <c r="N67" s="65"/>
      <c r="O67" s="66"/>
      <c r="P67" s="66"/>
      <c r="Q67" s="66"/>
      <c r="R67" s="65"/>
      <c r="S67" s="65"/>
      <c r="T67" s="65"/>
      <c r="U67" s="66"/>
      <c r="V67" s="66"/>
      <c r="W67" s="66"/>
      <c r="X67" s="65"/>
      <c r="Y67" s="65"/>
      <c r="Z67" s="65"/>
      <c r="AA67" s="66"/>
      <c r="AB67" s="66"/>
      <c r="AC67" s="66"/>
      <c r="AD67" s="65"/>
      <c r="AE67" s="65"/>
      <c r="AF67" s="65"/>
      <c r="AG67" s="66"/>
      <c r="AH67" s="66"/>
      <c r="AI67" s="66"/>
      <c r="AJ67" s="65"/>
      <c r="AK67" s="65"/>
      <c r="AL67" s="65"/>
      <c r="AM67" s="66"/>
      <c r="AN67" s="66"/>
      <c r="AO67" s="66"/>
    </row>
    <row r="68" spans="1:41" s="58" customFormat="1" ht="17.25" x14ac:dyDescent="0.3">
      <c r="A68" s="70" t="s">
        <v>74</v>
      </c>
      <c r="B68" s="16"/>
      <c r="C68" s="43"/>
      <c r="D68" s="44"/>
      <c r="E68" s="3"/>
      <c r="F68" s="65"/>
      <c r="G68" s="65"/>
      <c r="H68" s="65"/>
      <c r="I68" s="66"/>
      <c r="J68" s="66"/>
      <c r="K68" s="66"/>
      <c r="L68" s="65"/>
      <c r="M68" s="65"/>
      <c r="N68" s="65"/>
      <c r="O68" s="66"/>
      <c r="P68" s="66"/>
      <c r="Q68" s="66"/>
      <c r="R68" s="65"/>
      <c r="S68" s="65"/>
      <c r="T68" s="65"/>
      <c r="U68" s="66"/>
      <c r="V68" s="66"/>
      <c r="W68" s="66"/>
      <c r="X68" s="65"/>
      <c r="Y68" s="65"/>
      <c r="Z68" s="65"/>
      <c r="AA68" s="66"/>
      <c r="AB68" s="66"/>
      <c r="AC68" s="66"/>
      <c r="AD68" s="65"/>
      <c r="AE68" s="65"/>
      <c r="AF68" s="65"/>
      <c r="AG68" s="66"/>
      <c r="AH68" s="66"/>
      <c r="AI68" s="66"/>
      <c r="AJ68" s="65"/>
      <c r="AK68" s="65"/>
      <c r="AL68" s="65"/>
      <c r="AM68" s="66"/>
      <c r="AN68" s="66"/>
      <c r="AO68" s="66"/>
    </row>
    <row r="69" spans="1:41" s="58" customFormat="1" ht="17.25" x14ac:dyDescent="0.3">
      <c r="A69" s="15" t="s">
        <v>21</v>
      </c>
      <c r="B69" s="16"/>
      <c r="C69" s="14">
        <f t="shared" ref="C69" si="42">H69+K69+N69+Q69+T69+W69+Z69+AC69+AF69+AI69+AL69</f>
        <v>0</v>
      </c>
      <c r="D69" s="45"/>
      <c r="E69" s="3"/>
      <c r="F69" s="132">
        <v>0</v>
      </c>
      <c r="G69" s="65"/>
      <c r="H69" s="65">
        <f t="shared" si="27"/>
        <v>0</v>
      </c>
      <c r="I69" s="132">
        <v>0</v>
      </c>
      <c r="J69" s="66"/>
      <c r="K69" s="66">
        <f t="shared" si="28"/>
        <v>0</v>
      </c>
      <c r="L69" s="65">
        <v>0</v>
      </c>
      <c r="M69" s="65"/>
      <c r="N69" s="65">
        <f t="shared" si="29"/>
        <v>0</v>
      </c>
      <c r="O69" s="132">
        <v>0</v>
      </c>
      <c r="P69" s="66"/>
      <c r="Q69" s="66">
        <f t="shared" si="30"/>
        <v>0</v>
      </c>
      <c r="R69" s="132">
        <v>0</v>
      </c>
      <c r="S69" s="65"/>
      <c r="T69" s="65">
        <f t="shared" si="31"/>
        <v>0</v>
      </c>
      <c r="U69" s="132"/>
      <c r="V69" s="66"/>
      <c r="W69" s="66">
        <f t="shared" si="32"/>
        <v>0</v>
      </c>
      <c r="X69" s="132"/>
      <c r="Y69" s="65"/>
      <c r="Z69" s="65">
        <f t="shared" si="33"/>
        <v>0</v>
      </c>
      <c r="AA69" s="132"/>
      <c r="AB69" s="66"/>
      <c r="AC69" s="66">
        <f t="shared" si="34"/>
        <v>0</v>
      </c>
      <c r="AD69" s="65"/>
      <c r="AE69" s="65"/>
      <c r="AF69" s="65">
        <f t="shared" si="35"/>
        <v>0</v>
      </c>
      <c r="AG69" s="66"/>
      <c r="AH69" s="66"/>
      <c r="AI69" s="66">
        <f t="shared" si="36"/>
        <v>0</v>
      </c>
      <c r="AJ69" s="65"/>
      <c r="AK69" s="65"/>
      <c r="AL69" s="65">
        <f t="shared" si="37"/>
        <v>0</v>
      </c>
      <c r="AM69" s="66"/>
      <c r="AN69" s="66"/>
      <c r="AO69" s="66">
        <f t="shared" ref="AO69:AO72" si="43">AM69+AN69</f>
        <v>0</v>
      </c>
    </row>
    <row r="70" spans="1:41" s="58" customFormat="1" ht="17.25" x14ac:dyDescent="0.3">
      <c r="A70" s="15" t="s">
        <v>22</v>
      </c>
      <c r="B70" s="16"/>
      <c r="C70" s="14">
        <f>H70+K70+N70+Q70+T70+W70+Z70+AC70+AF70+AI70+AL70+AO70</f>
        <v>79058</v>
      </c>
      <c r="D70" s="24"/>
      <c r="E70" s="3"/>
      <c r="F70" s="132">
        <v>43138</v>
      </c>
      <c r="G70" s="65"/>
      <c r="H70" s="65">
        <f t="shared" si="27"/>
        <v>43138</v>
      </c>
      <c r="I70" s="132">
        <v>11680</v>
      </c>
      <c r="J70" s="66"/>
      <c r="K70" s="66">
        <f t="shared" si="28"/>
        <v>11680</v>
      </c>
      <c r="L70" s="65">
        <v>0</v>
      </c>
      <c r="M70" s="65"/>
      <c r="N70" s="65">
        <f t="shared" si="29"/>
        <v>0</v>
      </c>
      <c r="O70" s="132">
        <v>24240</v>
      </c>
      <c r="P70" s="66"/>
      <c r="Q70" s="66">
        <f t="shared" si="30"/>
        <v>24240</v>
      </c>
      <c r="R70" s="132">
        <v>0</v>
      </c>
      <c r="S70" s="65"/>
      <c r="T70" s="65">
        <f t="shared" si="31"/>
        <v>0</v>
      </c>
      <c r="U70" s="132"/>
      <c r="V70" s="66"/>
      <c r="W70" s="66">
        <f t="shared" si="32"/>
        <v>0</v>
      </c>
      <c r="X70" s="132"/>
      <c r="Y70" s="65"/>
      <c r="Z70" s="65">
        <f t="shared" si="33"/>
        <v>0</v>
      </c>
      <c r="AA70" s="132">
        <v>0</v>
      </c>
      <c r="AB70" s="66"/>
      <c r="AC70" s="66">
        <f t="shared" si="34"/>
        <v>0</v>
      </c>
      <c r="AD70" s="65"/>
      <c r="AE70" s="65"/>
      <c r="AF70" s="65">
        <f t="shared" si="35"/>
        <v>0</v>
      </c>
      <c r="AG70" s="66"/>
      <c r="AH70" s="66"/>
      <c r="AI70" s="66">
        <f t="shared" si="36"/>
        <v>0</v>
      </c>
      <c r="AJ70" s="65"/>
      <c r="AK70" s="65"/>
      <c r="AL70" s="65">
        <f t="shared" si="37"/>
        <v>0</v>
      </c>
      <c r="AM70" s="66"/>
      <c r="AN70" s="66"/>
      <c r="AO70" s="66">
        <f t="shared" si="43"/>
        <v>0</v>
      </c>
    </row>
    <row r="71" spans="1:41" s="58" customFormat="1" ht="17.25" x14ac:dyDescent="0.3">
      <c r="A71" s="15" t="s">
        <v>23</v>
      </c>
      <c r="B71" s="16"/>
      <c r="C71" s="14">
        <f>H71+K71+N71+Q71+T71+W71+Z71+AC71+AF71+AI71+AL71+AO71</f>
        <v>85143</v>
      </c>
      <c r="D71" s="24"/>
      <c r="E71" s="3"/>
      <c r="F71" s="132">
        <v>173743</v>
      </c>
      <c r="G71" s="120">
        <v>-100000</v>
      </c>
      <c r="H71" s="65">
        <f t="shared" si="27"/>
        <v>73743</v>
      </c>
      <c r="I71" s="132">
        <v>80790</v>
      </c>
      <c r="J71" s="120">
        <f>-41540-35150</f>
        <v>-76690</v>
      </c>
      <c r="K71" s="66">
        <f t="shared" si="28"/>
        <v>4100</v>
      </c>
      <c r="L71" s="65">
        <v>0</v>
      </c>
      <c r="M71" s="65"/>
      <c r="N71" s="65">
        <f t="shared" si="29"/>
        <v>0</v>
      </c>
      <c r="O71" s="132">
        <v>405925</v>
      </c>
      <c r="P71" s="120">
        <f>-312000-76260-17665</f>
        <v>-405925</v>
      </c>
      <c r="Q71" s="66">
        <f t="shared" si="30"/>
        <v>0</v>
      </c>
      <c r="R71" s="132">
        <v>0</v>
      </c>
      <c r="S71" s="65"/>
      <c r="T71" s="65">
        <f t="shared" si="31"/>
        <v>0</v>
      </c>
      <c r="U71" s="132">
        <v>15260</v>
      </c>
      <c r="V71" s="120">
        <v>-15260</v>
      </c>
      <c r="W71" s="66">
        <f t="shared" si="32"/>
        <v>0</v>
      </c>
      <c r="X71" s="132">
        <v>7300</v>
      </c>
      <c r="Y71" s="65"/>
      <c r="Z71" s="65">
        <f t="shared" si="33"/>
        <v>7300</v>
      </c>
      <c r="AA71" s="132">
        <v>7130</v>
      </c>
      <c r="AB71" s="120">
        <v>-7130</v>
      </c>
      <c r="AC71" s="66">
        <f t="shared" si="34"/>
        <v>0</v>
      </c>
      <c r="AD71" s="65">
        <v>930</v>
      </c>
      <c r="AE71" s="120">
        <v>-930</v>
      </c>
      <c r="AF71" s="65">
        <f t="shared" si="35"/>
        <v>0</v>
      </c>
      <c r="AG71" s="66"/>
      <c r="AH71" s="66"/>
      <c r="AI71" s="66">
        <f t="shared" si="36"/>
        <v>0</v>
      </c>
      <c r="AJ71" s="65"/>
      <c r="AK71" s="65"/>
      <c r="AL71" s="65">
        <f t="shared" si="37"/>
        <v>0</v>
      </c>
      <c r="AM71" s="66"/>
      <c r="AN71" s="66"/>
      <c r="AO71" s="66">
        <f t="shared" si="43"/>
        <v>0</v>
      </c>
    </row>
    <row r="72" spans="1:41" s="58" customFormat="1" ht="17.25" x14ac:dyDescent="0.3">
      <c r="A72" s="15" t="s">
        <v>24</v>
      </c>
      <c r="B72" s="16"/>
      <c r="C72" s="14">
        <f>H72+K72+N72+Q72+T72+W72+Z72+AC72+AF72+AI72+AL72+AO72</f>
        <v>2189165</v>
      </c>
      <c r="D72" s="24"/>
      <c r="E72" s="3"/>
      <c r="F72" s="132">
        <v>360990</v>
      </c>
      <c r="G72" s="65"/>
      <c r="H72" s="65">
        <f t="shared" si="27"/>
        <v>360990</v>
      </c>
      <c r="I72" s="132">
        <v>266108</v>
      </c>
      <c r="J72" s="66"/>
      <c r="K72" s="66">
        <f t="shared" si="28"/>
        <v>266108</v>
      </c>
      <c r="L72" s="65">
        <v>0</v>
      </c>
      <c r="M72" s="65"/>
      <c r="N72" s="65">
        <f t="shared" si="29"/>
        <v>0</v>
      </c>
      <c r="O72" s="132">
        <v>79283</v>
      </c>
      <c r="P72" s="66"/>
      <c r="Q72" s="66">
        <f t="shared" si="30"/>
        <v>79283</v>
      </c>
      <c r="R72" s="132">
        <v>1283511</v>
      </c>
      <c r="S72" s="65"/>
      <c r="T72" s="65">
        <f t="shared" si="31"/>
        <v>1283511</v>
      </c>
      <c r="U72" s="132">
        <v>62097</v>
      </c>
      <c r="V72" s="66"/>
      <c r="W72" s="66">
        <f t="shared" si="32"/>
        <v>62097</v>
      </c>
      <c r="X72" s="132">
        <v>90824</v>
      </c>
      <c r="Y72" s="65"/>
      <c r="Z72" s="65">
        <f t="shared" si="33"/>
        <v>90824</v>
      </c>
      <c r="AA72" s="132">
        <v>46223</v>
      </c>
      <c r="AB72" s="66"/>
      <c r="AC72" s="66">
        <f t="shared" si="34"/>
        <v>46223</v>
      </c>
      <c r="AD72" s="65">
        <v>129</v>
      </c>
      <c r="AE72" s="65"/>
      <c r="AF72" s="65">
        <f t="shared" si="35"/>
        <v>129</v>
      </c>
      <c r="AG72" s="66"/>
      <c r="AH72" s="66"/>
      <c r="AI72" s="66">
        <f t="shared" si="36"/>
        <v>0</v>
      </c>
      <c r="AJ72" s="65"/>
      <c r="AK72" s="65"/>
      <c r="AL72" s="65">
        <f t="shared" si="37"/>
        <v>0</v>
      </c>
      <c r="AM72" s="66"/>
      <c r="AN72" s="66"/>
      <c r="AO72" s="66">
        <f t="shared" si="43"/>
        <v>0</v>
      </c>
    </row>
    <row r="73" spans="1:41" s="58" customFormat="1" ht="18.95" customHeight="1" x14ac:dyDescent="0.3">
      <c r="A73" s="4" t="s">
        <v>25</v>
      </c>
      <c r="B73" s="16"/>
      <c r="C73" s="17">
        <f>SUM(C69:C72)</f>
        <v>2353366</v>
      </c>
      <c r="D73" s="28"/>
      <c r="E73" s="3"/>
      <c r="F73" s="17">
        <f>SUM(F69:F72)</f>
        <v>577871</v>
      </c>
      <c r="G73" s="17">
        <f t="shared" ref="G73:AO73" si="44">SUM(G69:G72)</f>
        <v>-100000</v>
      </c>
      <c r="H73" s="17">
        <f t="shared" si="44"/>
        <v>477871</v>
      </c>
      <c r="I73" s="17">
        <f t="shared" si="44"/>
        <v>358578</v>
      </c>
      <c r="J73" s="17">
        <f t="shared" si="44"/>
        <v>-76690</v>
      </c>
      <c r="K73" s="17">
        <f t="shared" si="44"/>
        <v>281888</v>
      </c>
      <c r="L73" s="17">
        <f t="shared" si="44"/>
        <v>0</v>
      </c>
      <c r="M73" s="17">
        <f t="shared" si="44"/>
        <v>0</v>
      </c>
      <c r="N73" s="17">
        <f t="shared" si="44"/>
        <v>0</v>
      </c>
      <c r="O73" s="17">
        <f t="shared" si="44"/>
        <v>509448</v>
      </c>
      <c r="P73" s="17">
        <f t="shared" si="44"/>
        <v>-405925</v>
      </c>
      <c r="Q73" s="17">
        <f t="shared" si="44"/>
        <v>103523</v>
      </c>
      <c r="R73" s="17">
        <f t="shared" si="44"/>
        <v>1283511</v>
      </c>
      <c r="S73" s="17">
        <f t="shared" si="44"/>
        <v>0</v>
      </c>
      <c r="T73" s="17">
        <f t="shared" si="44"/>
        <v>1283511</v>
      </c>
      <c r="U73" s="17">
        <f t="shared" si="44"/>
        <v>77357</v>
      </c>
      <c r="V73" s="17">
        <f t="shared" si="44"/>
        <v>-15260</v>
      </c>
      <c r="W73" s="17">
        <f t="shared" si="44"/>
        <v>62097</v>
      </c>
      <c r="X73" s="17">
        <f t="shared" si="44"/>
        <v>98124</v>
      </c>
      <c r="Y73" s="17">
        <f t="shared" si="44"/>
        <v>0</v>
      </c>
      <c r="Z73" s="17">
        <f t="shared" si="44"/>
        <v>98124</v>
      </c>
      <c r="AA73" s="17">
        <f t="shared" si="44"/>
        <v>53353</v>
      </c>
      <c r="AB73" s="17">
        <f t="shared" si="44"/>
        <v>-7130</v>
      </c>
      <c r="AC73" s="17">
        <f t="shared" si="44"/>
        <v>46223</v>
      </c>
      <c r="AD73" s="17">
        <f t="shared" si="44"/>
        <v>1059</v>
      </c>
      <c r="AE73" s="17">
        <f t="shared" si="44"/>
        <v>-930</v>
      </c>
      <c r="AF73" s="17">
        <f t="shared" si="44"/>
        <v>129</v>
      </c>
      <c r="AG73" s="17">
        <f t="shared" si="44"/>
        <v>0</v>
      </c>
      <c r="AH73" s="17">
        <f t="shared" si="44"/>
        <v>0</v>
      </c>
      <c r="AI73" s="17">
        <f t="shared" si="44"/>
        <v>0</v>
      </c>
      <c r="AJ73" s="17">
        <f t="shared" si="44"/>
        <v>0</v>
      </c>
      <c r="AK73" s="17">
        <f t="shared" si="44"/>
        <v>0</v>
      </c>
      <c r="AL73" s="17">
        <f t="shared" si="44"/>
        <v>0</v>
      </c>
      <c r="AM73" s="17">
        <f t="shared" si="44"/>
        <v>0</v>
      </c>
      <c r="AN73" s="17">
        <f t="shared" si="44"/>
        <v>0</v>
      </c>
      <c r="AO73" s="17">
        <f t="shared" si="44"/>
        <v>0</v>
      </c>
    </row>
    <row r="74" spans="1:41" s="58" customFormat="1" ht="18.95" customHeight="1" thickBot="1" x14ac:dyDescent="0.35">
      <c r="A74" s="70" t="s">
        <v>69</v>
      </c>
      <c r="B74" s="16"/>
      <c r="C74" s="17">
        <f>C66+C73</f>
        <v>4345366</v>
      </c>
      <c r="D74" s="28"/>
      <c r="E74" s="3"/>
      <c r="F74" s="17">
        <f t="shared" ref="F74:AO74" si="45">F66+F73</f>
        <v>2548171</v>
      </c>
      <c r="G74" s="17">
        <f t="shared" si="45"/>
        <v>-100000</v>
      </c>
      <c r="H74" s="17">
        <f t="shared" si="45"/>
        <v>2448171</v>
      </c>
      <c r="I74" s="17">
        <f t="shared" si="45"/>
        <v>358578</v>
      </c>
      <c r="J74" s="17">
        <f t="shared" si="45"/>
        <v>-76690</v>
      </c>
      <c r="K74" s="17">
        <f t="shared" si="45"/>
        <v>281888</v>
      </c>
      <c r="L74" s="17">
        <f t="shared" si="45"/>
        <v>0</v>
      </c>
      <c r="M74" s="17">
        <f t="shared" si="45"/>
        <v>0</v>
      </c>
      <c r="N74" s="17">
        <f t="shared" si="45"/>
        <v>0</v>
      </c>
      <c r="O74" s="17">
        <f t="shared" si="45"/>
        <v>509448</v>
      </c>
      <c r="P74" s="17">
        <f t="shared" si="45"/>
        <v>-405925</v>
      </c>
      <c r="Q74" s="17">
        <f t="shared" si="45"/>
        <v>103523</v>
      </c>
      <c r="R74" s="17">
        <f t="shared" si="45"/>
        <v>1305211</v>
      </c>
      <c r="S74" s="17">
        <f t="shared" si="45"/>
        <v>0</v>
      </c>
      <c r="T74" s="17">
        <f t="shared" si="45"/>
        <v>1305211</v>
      </c>
      <c r="U74" s="17">
        <f t="shared" si="45"/>
        <v>77357</v>
      </c>
      <c r="V74" s="17">
        <f t="shared" si="45"/>
        <v>-15260</v>
      </c>
      <c r="W74" s="17">
        <f t="shared" si="45"/>
        <v>62097</v>
      </c>
      <c r="X74" s="17">
        <f t="shared" si="45"/>
        <v>98124</v>
      </c>
      <c r="Y74" s="17">
        <f t="shared" si="45"/>
        <v>0</v>
      </c>
      <c r="Z74" s="17">
        <f t="shared" si="45"/>
        <v>98124</v>
      </c>
      <c r="AA74" s="17">
        <f t="shared" si="45"/>
        <v>53353</v>
      </c>
      <c r="AB74" s="17">
        <f t="shared" si="45"/>
        <v>-7130</v>
      </c>
      <c r="AC74" s="17">
        <f t="shared" si="45"/>
        <v>46223</v>
      </c>
      <c r="AD74" s="17">
        <f t="shared" si="45"/>
        <v>1059</v>
      </c>
      <c r="AE74" s="17">
        <f t="shared" si="45"/>
        <v>-930</v>
      </c>
      <c r="AF74" s="17">
        <f t="shared" si="45"/>
        <v>129</v>
      </c>
      <c r="AG74" s="17">
        <f t="shared" si="45"/>
        <v>0</v>
      </c>
      <c r="AH74" s="17">
        <f t="shared" si="45"/>
        <v>0</v>
      </c>
      <c r="AI74" s="17">
        <f t="shared" si="45"/>
        <v>0</v>
      </c>
      <c r="AJ74" s="17">
        <f t="shared" si="45"/>
        <v>0</v>
      </c>
      <c r="AK74" s="17">
        <f t="shared" si="45"/>
        <v>0</v>
      </c>
      <c r="AL74" s="17">
        <f t="shared" si="45"/>
        <v>0</v>
      </c>
      <c r="AM74" s="17">
        <f t="shared" si="45"/>
        <v>0</v>
      </c>
      <c r="AN74" s="17">
        <f t="shared" si="45"/>
        <v>0</v>
      </c>
      <c r="AO74" s="17">
        <f t="shared" si="45"/>
        <v>0</v>
      </c>
    </row>
    <row r="75" spans="1:41" s="58" customFormat="1" ht="18" thickTop="1" x14ac:dyDescent="0.3">
      <c r="A75" s="15" t="s">
        <v>1</v>
      </c>
      <c r="B75" s="16"/>
      <c r="C75" s="46"/>
      <c r="D75" s="24"/>
      <c r="E75" s="3"/>
      <c r="F75" s="65"/>
      <c r="G75" s="65"/>
      <c r="H75" s="65"/>
      <c r="I75" s="66"/>
      <c r="J75" s="66"/>
      <c r="K75" s="66"/>
      <c r="L75" s="65"/>
      <c r="M75" s="65"/>
      <c r="N75" s="65"/>
      <c r="O75" s="66"/>
      <c r="P75" s="66"/>
      <c r="Q75" s="66"/>
      <c r="R75" s="65"/>
      <c r="S75" s="65"/>
      <c r="T75" s="65"/>
      <c r="U75" s="66"/>
      <c r="V75" s="66"/>
      <c r="W75" s="66"/>
      <c r="X75" s="65"/>
      <c r="Y75" s="65"/>
      <c r="Z75" s="65"/>
      <c r="AA75" s="66"/>
      <c r="AB75" s="66"/>
      <c r="AC75" s="66"/>
      <c r="AD75" s="65"/>
      <c r="AE75" s="65"/>
      <c r="AF75" s="65"/>
      <c r="AG75" s="66"/>
      <c r="AH75" s="66"/>
      <c r="AI75" s="66"/>
      <c r="AJ75" s="65"/>
      <c r="AK75" s="65"/>
      <c r="AL75" s="65"/>
      <c r="AM75" s="66"/>
      <c r="AN75" s="66"/>
      <c r="AO75" s="66"/>
    </row>
    <row r="76" spans="1:41" s="58" customFormat="1" ht="17.25" x14ac:dyDescent="0.3">
      <c r="A76" s="4" t="s">
        <v>26</v>
      </c>
      <c r="B76" s="16"/>
      <c r="C76" s="19"/>
      <c r="D76" s="24"/>
      <c r="E76" s="3"/>
      <c r="F76" s="65"/>
      <c r="G76" s="65"/>
      <c r="H76" s="65"/>
      <c r="I76" s="66"/>
      <c r="J76" s="66"/>
      <c r="K76" s="66"/>
      <c r="L76" s="65"/>
      <c r="M76" s="65"/>
      <c r="N76" s="65"/>
      <c r="O76" s="66"/>
      <c r="P76" s="66"/>
      <c r="Q76" s="66"/>
      <c r="R76" s="65"/>
      <c r="S76" s="65"/>
      <c r="T76" s="65"/>
      <c r="U76" s="66"/>
      <c r="V76" s="66"/>
      <c r="W76" s="66"/>
      <c r="X76" s="65"/>
      <c r="Y76" s="65"/>
      <c r="Z76" s="65"/>
      <c r="AA76" s="66"/>
      <c r="AB76" s="66"/>
      <c r="AC76" s="66"/>
      <c r="AD76" s="65"/>
      <c r="AE76" s="65"/>
      <c r="AF76" s="65"/>
      <c r="AG76" s="66"/>
      <c r="AH76" s="66"/>
      <c r="AI76" s="66"/>
      <c r="AJ76" s="65"/>
      <c r="AK76" s="65"/>
      <c r="AL76" s="65"/>
      <c r="AM76" s="66"/>
      <c r="AN76" s="66"/>
      <c r="AO76" s="66"/>
    </row>
    <row r="77" spans="1:41" s="58" customFormat="1" ht="6.95" customHeight="1" x14ac:dyDescent="0.3">
      <c r="A77" s="4"/>
      <c r="B77" s="16"/>
      <c r="C77" s="19"/>
      <c r="D77" s="24"/>
      <c r="E77" s="3"/>
      <c r="F77" s="65"/>
      <c r="G77" s="65"/>
      <c r="H77" s="65"/>
      <c r="I77" s="66"/>
      <c r="J77" s="66"/>
      <c r="K77" s="66"/>
      <c r="L77" s="65"/>
      <c r="M77" s="65"/>
      <c r="N77" s="65"/>
      <c r="O77" s="66"/>
      <c r="P77" s="66"/>
      <c r="Q77" s="66"/>
      <c r="R77" s="65"/>
      <c r="S77" s="65"/>
      <c r="T77" s="65"/>
      <c r="U77" s="66"/>
      <c r="V77" s="66"/>
      <c r="W77" s="66"/>
      <c r="X77" s="65"/>
      <c r="Y77" s="65"/>
      <c r="Z77" s="65"/>
      <c r="AA77" s="66"/>
      <c r="AB77" s="66"/>
      <c r="AC77" s="66"/>
      <c r="AD77" s="65"/>
      <c r="AE77" s="65"/>
      <c r="AF77" s="65"/>
      <c r="AG77" s="66"/>
      <c r="AH77" s="66"/>
      <c r="AI77" s="66"/>
      <c r="AJ77" s="65"/>
      <c r="AK77" s="65"/>
      <c r="AL77" s="65"/>
      <c r="AM77" s="66"/>
      <c r="AN77" s="66"/>
      <c r="AO77" s="66"/>
    </row>
    <row r="78" spans="1:41" s="58" customFormat="1" ht="17.25" x14ac:dyDescent="0.3">
      <c r="A78" s="4" t="s">
        <v>27</v>
      </c>
      <c r="B78" s="25"/>
      <c r="C78" s="47"/>
      <c r="D78" s="48"/>
      <c r="E78" s="3"/>
      <c r="F78" s="65"/>
      <c r="G78" s="65"/>
      <c r="H78" s="65"/>
      <c r="I78" s="66"/>
      <c r="J78" s="66"/>
      <c r="K78" s="66"/>
      <c r="L78" s="65"/>
      <c r="M78" s="65"/>
      <c r="N78" s="65"/>
      <c r="O78" s="66"/>
      <c r="P78" s="66"/>
      <c r="Q78" s="66"/>
      <c r="R78" s="65"/>
      <c r="S78" s="65"/>
      <c r="T78" s="65"/>
      <c r="U78" s="66"/>
      <c r="V78" s="66"/>
      <c r="W78" s="66"/>
      <c r="X78" s="65"/>
      <c r="Y78" s="65"/>
      <c r="Z78" s="65"/>
      <c r="AA78" s="66"/>
      <c r="AB78" s="66"/>
      <c r="AC78" s="66"/>
      <c r="AD78" s="65"/>
      <c r="AE78" s="65"/>
      <c r="AF78" s="65"/>
      <c r="AG78" s="66"/>
      <c r="AH78" s="66"/>
      <c r="AI78" s="66"/>
      <c r="AJ78" s="65"/>
      <c r="AK78" s="65"/>
      <c r="AL78" s="65"/>
      <c r="AM78" s="66"/>
      <c r="AN78" s="66"/>
      <c r="AO78" s="66"/>
    </row>
    <row r="79" spans="1:41" s="58" customFormat="1" ht="17.25" hidden="1" x14ac:dyDescent="0.3">
      <c r="A79" s="4" t="s">
        <v>28</v>
      </c>
      <c r="B79" s="16"/>
      <c r="C79" s="19"/>
      <c r="D79" s="24"/>
      <c r="E79" s="3"/>
      <c r="F79" s="65"/>
      <c r="G79" s="65"/>
      <c r="H79" s="65"/>
      <c r="I79" s="66"/>
      <c r="J79" s="66"/>
      <c r="K79" s="66"/>
      <c r="L79" s="65"/>
      <c r="M79" s="65"/>
      <c r="N79" s="65"/>
      <c r="O79" s="66"/>
      <c r="P79" s="66"/>
      <c r="Q79" s="66"/>
      <c r="R79" s="65"/>
      <c r="S79" s="65"/>
      <c r="T79" s="65"/>
      <c r="U79" s="66"/>
      <c r="V79" s="66"/>
      <c r="W79" s="66"/>
      <c r="X79" s="65"/>
      <c r="Y79" s="65"/>
      <c r="Z79" s="65"/>
      <c r="AA79" s="66"/>
      <c r="AB79" s="66"/>
      <c r="AC79" s="66"/>
      <c r="AD79" s="65"/>
      <c r="AE79" s="65"/>
      <c r="AF79" s="65"/>
      <c r="AG79" s="66"/>
      <c r="AH79" s="66"/>
      <c r="AI79" s="66"/>
      <c r="AJ79" s="65"/>
      <c r="AK79" s="65"/>
      <c r="AL79" s="65"/>
      <c r="AM79" s="66"/>
      <c r="AN79" s="66"/>
      <c r="AO79" s="66"/>
    </row>
    <row r="80" spans="1:41" s="58" customFormat="1" ht="17.25" hidden="1" x14ac:dyDescent="0.3">
      <c r="A80" s="15" t="s">
        <v>29</v>
      </c>
      <c r="B80" s="16"/>
      <c r="C80" s="19">
        <v>0</v>
      </c>
      <c r="D80" s="24"/>
      <c r="E80" s="3"/>
      <c r="F80" s="65"/>
      <c r="G80" s="65"/>
      <c r="H80" s="65"/>
      <c r="I80" s="66"/>
      <c r="J80" s="66"/>
      <c r="K80" s="66"/>
      <c r="L80" s="65"/>
      <c r="M80" s="65"/>
      <c r="N80" s="65"/>
      <c r="O80" s="66"/>
      <c r="P80" s="66"/>
      <c r="Q80" s="66"/>
      <c r="R80" s="65"/>
      <c r="S80" s="65"/>
      <c r="T80" s="65"/>
      <c r="U80" s="66"/>
      <c r="V80" s="66"/>
      <c r="W80" s="66"/>
      <c r="X80" s="65"/>
      <c r="Y80" s="65"/>
      <c r="Z80" s="65"/>
      <c r="AA80" s="66"/>
      <c r="AB80" s="66"/>
      <c r="AC80" s="66"/>
      <c r="AD80" s="65"/>
      <c r="AE80" s="65"/>
      <c r="AF80" s="65"/>
      <c r="AG80" s="66"/>
      <c r="AH80" s="66"/>
      <c r="AI80" s="66"/>
      <c r="AJ80" s="65"/>
      <c r="AK80" s="65"/>
      <c r="AL80" s="65"/>
      <c r="AM80" s="66"/>
      <c r="AN80" s="66"/>
      <c r="AO80" s="66"/>
    </row>
    <row r="81" spans="1:41" s="58" customFormat="1" ht="17.25" hidden="1" x14ac:dyDescent="0.3">
      <c r="A81" s="4" t="s">
        <v>30</v>
      </c>
      <c r="B81" s="16"/>
      <c r="C81" s="18">
        <f>C80</f>
        <v>0</v>
      </c>
      <c r="D81" s="24"/>
      <c r="E81" s="3"/>
      <c r="F81" s="65"/>
      <c r="G81" s="65"/>
      <c r="H81" s="65"/>
      <c r="I81" s="66"/>
      <c r="J81" s="66"/>
      <c r="K81" s="66"/>
      <c r="L81" s="65"/>
      <c r="M81" s="65"/>
      <c r="N81" s="65"/>
      <c r="O81" s="66"/>
      <c r="P81" s="66"/>
      <c r="Q81" s="66"/>
      <c r="R81" s="65"/>
      <c r="S81" s="65"/>
      <c r="T81" s="65"/>
      <c r="U81" s="66"/>
      <c r="V81" s="66"/>
      <c r="W81" s="66"/>
      <c r="X81" s="65"/>
      <c r="Y81" s="65"/>
      <c r="Z81" s="65"/>
      <c r="AA81" s="66"/>
      <c r="AB81" s="66"/>
      <c r="AC81" s="66"/>
      <c r="AD81" s="65"/>
      <c r="AE81" s="65"/>
      <c r="AF81" s="65"/>
      <c r="AG81" s="66"/>
      <c r="AH81" s="66"/>
      <c r="AI81" s="66"/>
      <c r="AJ81" s="65"/>
      <c r="AK81" s="65"/>
      <c r="AL81" s="65"/>
      <c r="AM81" s="66"/>
      <c r="AN81" s="66"/>
      <c r="AO81" s="66"/>
    </row>
    <row r="82" spans="1:41" s="58" customFormat="1" ht="9.9499999999999993" customHeight="1" x14ac:dyDescent="0.3">
      <c r="A82" s="15"/>
      <c r="B82" s="16"/>
      <c r="C82" s="19"/>
      <c r="D82" s="24"/>
      <c r="E82" s="3"/>
      <c r="F82" s="65"/>
      <c r="G82" s="65"/>
      <c r="H82" s="65"/>
      <c r="I82" s="66"/>
      <c r="J82" s="66"/>
      <c r="K82" s="66"/>
      <c r="L82" s="65"/>
      <c r="M82" s="65"/>
      <c r="N82" s="65"/>
      <c r="O82" s="66"/>
      <c r="P82" s="66"/>
      <c r="Q82" s="66"/>
      <c r="R82" s="65"/>
      <c r="S82" s="65"/>
      <c r="T82" s="65"/>
      <c r="U82" s="66"/>
      <c r="V82" s="66"/>
      <c r="W82" s="66"/>
      <c r="X82" s="65"/>
      <c r="Y82" s="65"/>
      <c r="Z82" s="65"/>
      <c r="AA82" s="66"/>
      <c r="AB82" s="66"/>
      <c r="AC82" s="66"/>
      <c r="AD82" s="65"/>
      <c r="AE82" s="65"/>
      <c r="AF82" s="65"/>
      <c r="AG82" s="66"/>
      <c r="AH82" s="66"/>
      <c r="AI82" s="66"/>
      <c r="AJ82" s="65"/>
      <c r="AK82" s="65"/>
      <c r="AL82" s="65"/>
      <c r="AM82" s="66"/>
      <c r="AN82" s="66"/>
      <c r="AO82" s="66"/>
    </row>
    <row r="83" spans="1:41" s="58" customFormat="1" ht="17.25" x14ac:dyDescent="0.3">
      <c r="A83" s="15" t="s">
        <v>31</v>
      </c>
      <c r="B83" s="16"/>
      <c r="C83" s="14">
        <f>H83+K83+N83+Q83+T83+W83+Z83+AC83+AF83+AI83+AL83+AO83</f>
        <v>2672318</v>
      </c>
      <c r="D83" s="24"/>
      <c r="E83" s="3"/>
      <c r="F83" s="132">
        <v>897202</v>
      </c>
      <c r="G83" s="65"/>
      <c r="H83" s="65">
        <f t="shared" si="27"/>
        <v>897202</v>
      </c>
      <c r="I83" s="132">
        <v>234747</v>
      </c>
      <c r="J83" s="66"/>
      <c r="K83" s="66">
        <f t="shared" si="28"/>
        <v>234747</v>
      </c>
      <c r="L83" s="65">
        <v>0</v>
      </c>
      <c r="M83" s="65"/>
      <c r="N83" s="65">
        <f t="shared" si="29"/>
        <v>0</v>
      </c>
      <c r="O83" s="132">
        <v>502293</v>
      </c>
      <c r="P83" s="66"/>
      <c r="Q83" s="66">
        <f t="shared" si="30"/>
        <v>502293</v>
      </c>
      <c r="R83" s="132">
        <v>818888</v>
      </c>
      <c r="S83" s="65"/>
      <c r="T83" s="65">
        <f t="shared" si="31"/>
        <v>818888</v>
      </c>
      <c r="U83" s="132">
        <v>77357</v>
      </c>
      <c r="V83" s="66"/>
      <c r="W83" s="66">
        <f t="shared" si="32"/>
        <v>77357</v>
      </c>
      <c r="X83" s="132">
        <v>89454</v>
      </c>
      <c r="Y83" s="65"/>
      <c r="Z83" s="65">
        <f t="shared" si="33"/>
        <v>89454</v>
      </c>
      <c r="AA83" s="132">
        <v>51318</v>
      </c>
      <c r="AB83" s="66"/>
      <c r="AC83" s="66">
        <f t="shared" si="34"/>
        <v>51318</v>
      </c>
      <c r="AD83" s="65">
        <v>1059</v>
      </c>
      <c r="AE83" s="65"/>
      <c r="AF83" s="65">
        <f t="shared" si="35"/>
        <v>1059</v>
      </c>
      <c r="AG83" s="66"/>
      <c r="AH83" s="66"/>
      <c r="AI83" s="66">
        <f t="shared" si="36"/>
        <v>0</v>
      </c>
      <c r="AJ83" s="65"/>
      <c r="AK83" s="65"/>
      <c r="AL83" s="65">
        <f t="shared" si="37"/>
        <v>0</v>
      </c>
      <c r="AM83" s="66"/>
      <c r="AN83" s="66"/>
      <c r="AO83" s="66">
        <f t="shared" ref="AO83" si="46">AM83+AN83</f>
        <v>0</v>
      </c>
    </row>
    <row r="84" spans="1:41" s="58" customFormat="1" ht="18.95" customHeight="1" x14ac:dyDescent="0.3">
      <c r="A84" s="4" t="s">
        <v>32</v>
      </c>
      <c r="B84" s="16"/>
      <c r="C84" s="17">
        <f>C83</f>
        <v>2672318</v>
      </c>
      <c r="D84" s="28"/>
      <c r="E84" s="3"/>
      <c r="F84" s="17">
        <f>F83</f>
        <v>897202</v>
      </c>
      <c r="G84" s="17">
        <f t="shared" ref="G84:AO84" si="47">G83</f>
        <v>0</v>
      </c>
      <c r="H84" s="17">
        <f t="shared" si="47"/>
        <v>897202</v>
      </c>
      <c r="I84" s="17">
        <f t="shared" si="47"/>
        <v>234747</v>
      </c>
      <c r="J84" s="17">
        <f t="shared" si="47"/>
        <v>0</v>
      </c>
      <c r="K84" s="17">
        <f t="shared" si="47"/>
        <v>234747</v>
      </c>
      <c r="L84" s="17">
        <f t="shared" si="47"/>
        <v>0</v>
      </c>
      <c r="M84" s="17">
        <f t="shared" si="47"/>
        <v>0</v>
      </c>
      <c r="N84" s="17">
        <f t="shared" si="47"/>
        <v>0</v>
      </c>
      <c r="O84" s="17">
        <f t="shared" si="47"/>
        <v>502293</v>
      </c>
      <c r="P84" s="17">
        <f t="shared" si="47"/>
        <v>0</v>
      </c>
      <c r="Q84" s="17">
        <f t="shared" si="47"/>
        <v>502293</v>
      </c>
      <c r="R84" s="17">
        <f t="shared" si="47"/>
        <v>818888</v>
      </c>
      <c r="S84" s="17">
        <f t="shared" si="47"/>
        <v>0</v>
      </c>
      <c r="T84" s="17">
        <f t="shared" si="47"/>
        <v>818888</v>
      </c>
      <c r="U84" s="17">
        <f t="shared" si="47"/>
        <v>77357</v>
      </c>
      <c r="V84" s="17">
        <f t="shared" si="47"/>
        <v>0</v>
      </c>
      <c r="W84" s="17">
        <f t="shared" si="47"/>
        <v>77357</v>
      </c>
      <c r="X84" s="17">
        <f t="shared" si="47"/>
        <v>89454</v>
      </c>
      <c r="Y84" s="17">
        <f t="shared" si="47"/>
        <v>0</v>
      </c>
      <c r="Z84" s="17">
        <f t="shared" si="47"/>
        <v>89454</v>
      </c>
      <c r="AA84" s="17">
        <f t="shared" si="47"/>
        <v>51318</v>
      </c>
      <c r="AB84" s="17">
        <f t="shared" si="47"/>
        <v>0</v>
      </c>
      <c r="AC84" s="17">
        <f t="shared" si="47"/>
        <v>51318</v>
      </c>
      <c r="AD84" s="17">
        <f t="shared" si="47"/>
        <v>1059</v>
      </c>
      <c r="AE84" s="17">
        <f t="shared" si="47"/>
        <v>0</v>
      </c>
      <c r="AF84" s="17">
        <f t="shared" si="47"/>
        <v>1059</v>
      </c>
      <c r="AG84" s="17">
        <f t="shared" si="47"/>
        <v>0</v>
      </c>
      <c r="AH84" s="17">
        <f t="shared" si="47"/>
        <v>0</v>
      </c>
      <c r="AI84" s="17">
        <f t="shared" si="47"/>
        <v>0</v>
      </c>
      <c r="AJ84" s="17">
        <f t="shared" si="47"/>
        <v>0</v>
      </c>
      <c r="AK84" s="17">
        <f t="shared" si="47"/>
        <v>0</v>
      </c>
      <c r="AL84" s="17">
        <f t="shared" si="47"/>
        <v>0</v>
      </c>
      <c r="AM84" s="17">
        <f t="shared" si="47"/>
        <v>0</v>
      </c>
      <c r="AN84" s="17">
        <f t="shared" si="47"/>
        <v>0</v>
      </c>
      <c r="AO84" s="17">
        <f t="shared" si="47"/>
        <v>0</v>
      </c>
    </row>
    <row r="85" spans="1:41" s="58" customFormat="1" ht="9.9499999999999993" customHeight="1" x14ac:dyDescent="0.3">
      <c r="A85" s="4"/>
      <c r="B85" s="16"/>
      <c r="C85" s="17"/>
      <c r="D85" s="28"/>
      <c r="E85" s="3"/>
      <c r="F85" s="65"/>
      <c r="G85" s="65"/>
      <c r="H85" s="65"/>
      <c r="I85" s="66"/>
      <c r="J85" s="66"/>
      <c r="K85" s="66"/>
      <c r="L85" s="65"/>
      <c r="M85" s="65"/>
      <c r="N85" s="65"/>
      <c r="O85" s="66"/>
      <c r="P85" s="66"/>
      <c r="Q85" s="66"/>
      <c r="R85" s="65"/>
      <c r="S85" s="65"/>
      <c r="T85" s="65"/>
      <c r="U85" s="66"/>
      <c r="V85" s="66"/>
      <c r="W85" s="66"/>
      <c r="X85" s="65"/>
      <c r="Y85" s="65"/>
      <c r="Z85" s="65"/>
      <c r="AA85" s="66"/>
      <c r="AB85" s="66"/>
      <c r="AC85" s="66"/>
      <c r="AD85" s="65"/>
      <c r="AE85" s="65"/>
      <c r="AF85" s="65"/>
      <c r="AG85" s="66"/>
      <c r="AH85" s="66"/>
      <c r="AI85" s="66"/>
      <c r="AJ85" s="65"/>
      <c r="AK85" s="65"/>
      <c r="AL85" s="65"/>
      <c r="AM85" s="66"/>
      <c r="AN85" s="66"/>
      <c r="AO85" s="66"/>
    </row>
    <row r="86" spans="1:41" s="58" customFormat="1" ht="17.25" x14ac:dyDescent="0.3">
      <c r="A86" s="4" t="s">
        <v>33</v>
      </c>
      <c r="B86" s="16"/>
      <c r="C86" s="28"/>
      <c r="D86" s="28"/>
      <c r="E86" s="3"/>
      <c r="F86" s="65"/>
      <c r="G86" s="65"/>
      <c r="H86" s="65">
        <f t="shared" si="27"/>
        <v>0</v>
      </c>
      <c r="I86" s="66"/>
      <c r="J86" s="66"/>
      <c r="K86" s="66">
        <f t="shared" si="28"/>
        <v>0</v>
      </c>
      <c r="L86" s="65"/>
      <c r="M86" s="65"/>
      <c r="N86" s="65">
        <f t="shared" si="29"/>
        <v>0</v>
      </c>
      <c r="O86" s="66"/>
      <c r="P86" s="66"/>
      <c r="Q86" s="66">
        <f t="shared" si="30"/>
        <v>0</v>
      </c>
      <c r="R86" s="65"/>
      <c r="S86" s="65"/>
      <c r="T86" s="65">
        <f t="shared" si="31"/>
        <v>0</v>
      </c>
      <c r="U86" s="66"/>
      <c r="V86" s="66"/>
      <c r="W86" s="66">
        <f t="shared" si="32"/>
        <v>0</v>
      </c>
      <c r="X86" s="65"/>
      <c r="Y86" s="65"/>
      <c r="Z86" s="65">
        <f t="shared" si="33"/>
        <v>0</v>
      </c>
      <c r="AA86" s="66"/>
      <c r="AB86" s="66"/>
      <c r="AC86" s="66">
        <f t="shared" si="34"/>
        <v>0</v>
      </c>
      <c r="AD86" s="65"/>
      <c r="AE86" s="65"/>
      <c r="AF86" s="65">
        <f t="shared" si="35"/>
        <v>0</v>
      </c>
      <c r="AG86" s="66"/>
      <c r="AH86" s="66"/>
      <c r="AI86" s="66">
        <f t="shared" si="36"/>
        <v>0</v>
      </c>
      <c r="AJ86" s="65"/>
      <c r="AK86" s="65"/>
      <c r="AL86" s="65">
        <f t="shared" si="37"/>
        <v>0</v>
      </c>
      <c r="AM86" s="66"/>
      <c r="AN86" s="66"/>
      <c r="AO86" s="66">
        <f t="shared" ref="AO86:AO88" si="48">AM86+AN86</f>
        <v>0</v>
      </c>
    </row>
    <row r="87" spans="1:41" s="58" customFormat="1" ht="17.25" x14ac:dyDescent="0.3">
      <c r="A87" s="70" t="s">
        <v>78</v>
      </c>
      <c r="B87" s="16"/>
      <c r="C87" s="21"/>
      <c r="D87" s="28"/>
      <c r="E87" s="3"/>
      <c r="F87" s="65"/>
      <c r="G87" s="65"/>
      <c r="H87" s="65">
        <f t="shared" si="27"/>
        <v>0</v>
      </c>
      <c r="I87" s="66"/>
      <c r="J87" s="66"/>
      <c r="K87" s="66">
        <f t="shared" si="28"/>
        <v>0</v>
      </c>
      <c r="L87" s="65"/>
      <c r="M87" s="65"/>
      <c r="N87" s="65">
        <f t="shared" si="29"/>
        <v>0</v>
      </c>
      <c r="O87" s="66"/>
      <c r="P87" s="66"/>
      <c r="Q87" s="66">
        <f t="shared" si="30"/>
        <v>0</v>
      </c>
      <c r="R87" s="65"/>
      <c r="S87" s="65"/>
      <c r="T87" s="65">
        <f t="shared" si="31"/>
        <v>0</v>
      </c>
      <c r="U87" s="66"/>
      <c r="V87" s="66"/>
      <c r="W87" s="66">
        <f t="shared" si="32"/>
        <v>0</v>
      </c>
      <c r="X87" s="65"/>
      <c r="Y87" s="65"/>
      <c r="Z87" s="65">
        <f t="shared" si="33"/>
        <v>0</v>
      </c>
      <c r="AA87" s="66"/>
      <c r="AB87" s="66"/>
      <c r="AC87" s="66">
        <f t="shared" si="34"/>
        <v>0</v>
      </c>
      <c r="AD87" s="65"/>
      <c r="AE87" s="65"/>
      <c r="AF87" s="65">
        <f t="shared" si="35"/>
        <v>0</v>
      </c>
      <c r="AG87" s="66"/>
      <c r="AH87" s="66"/>
      <c r="AI87" s="66">
        <f t="shared" si="36"/>
        <v>0</v>
      </c>
      <c r="AJ87" s="65"/>
      <c r="AK87" s="65"/>
      <c r="AL87" s="65">
        <f t="shared" si="37"/>
        <v>0</v>
      </c>
      <c r="AM87" s="66"/>
      <c r="AN87" s="66"/>
      <c r="AO87" s="66">
        <f t="shared" si="48"/>
        <v>0</v>
      </c>
    </row>
    <row r="88" spans="1:41" s="58" customFormat="1" ht="17.25" x14ac:dyDescent="0.3">
      <c r="A88" s="15" t="s">
        <v>34</v>
      </c>
      <c r="B88" s="16"/>
      <c r="C88" s="14">
        <f>H88+K88+N88+Q88+T88+W88+Z88+AC88+AF88+AI88+AL88+AO88</f>
        <v>1342364</v>
      </c>
      <c r="D88" s="28"/>
      <c r="E88" s="3"/>
      <c r="F88" s="132">
        <v>1342364</v>
      </c>
      <c r="G88" s="65"/>
      <c r="H88" s="65">
        <f t="shared" si="27"/>
        <v>1342364</v>
      </c>
      <c r="I88" s="132">
        <v>0</v>
      </c>
      <c r="J88" s="66"/>
      <c r="K88" s="66">
        <f t="shared" si="28"/>
        <v>0</v>
      </c>
      <c r="L88" s="65">
        <v>0</v>
      </c>
      <c r="M88" s="65"/>
      <c r="N88" s="65">
        <f t="shared" si="29"/>
        <v>0</v>
      </c>
      <c r="O88" s="132">
        <v>0</v>
      </c>
      <c r="P88" s="66"/>
      <c r="Q88" s="66">
        <f t="shared" si="30"/>
        <v>0</v>
      </c>
      <c r="R88" s="132">
        <v>0</v>
      </c>
      <c r="S88" s="65"/>
      <c r="T88" s="65">
        <f t="shared" si="31"/>
        <v>0</v>
      </c>
      <c r="U88" s="132">
        <v>0</v>
      </c>
      <c r="V88" s="66"/>
      <c r="W88" s="66">
        <f t="shared" si="32"/>
        <v>0</v>
      </c>
      <c r="X88" s="65"/>
      <c r="Y88" s="65"/>
      <c r="Z88" s="65">
        <f t="shared" si="33"/>
        <v>0</v>
      </c>
      <c r="AA88" s="66"/>
      <c r="AB88" s="66"/>
      <c r="AC88" s="66">
        <f t="shared" si="34"/>
        <v>0</v>
      </c>
      <c r="AD88" s="65"/>
      <c r="AE88" s="65"/>
      <c r="AF88" s="65">
        <f t="shared" si="35"/>
        <v>0</v>
      </c>
      <c r="AG88" s="66"/>
      <c r="AH88" s="66"/>
      <c r="AI88" s="66">
        <f t="shared" si="36"/>
        <v>0</v>
      </c>
      <c r="AJ88" s="65"/>
      <c r="AK88" s="65"/>
      <c r="AL88" s="65">
        <f t="shared" si="37"/>
        <v>0</v>
      </c>
      <c r="AM88" s="66"/>
      <c r="AN88" s="66"/>
      <c r="AO88" s="66">
        <f t="shared" si="48"/>
        <v>0</v>
      </c>
    </row>
    <row r="89" spans="1:41" s="58" customFormat="1" ht="17.25" x14ac:dyDescent="0.3">
      <c r="A89" s="71" t="s">
        <v>77</v>
      </c>
      <c r="B89" s="16"/>
      <c r="C89" s="17">
        <f>C88</f>
        <v>1342364</v>
      </c>
      <c r="D89" s="28"/>
      <c r="E89" s="3"/>
      <c r="F89" s="17">
        <f>F88</f>
        <v>1342364</v>
      </c>
      <c r="G89" s="17">
        <f t="shared" ref="G89:AO89" si="49">G88</f>
        <v>0</v>
      </c>
      <c r="H89" s="17">
        <f t="shared" si="49"/>
        <v>1342364</v>
      </c>
      <c r="I89" s="17">
        <f t="shared" si="49"/>
        <v>0</v>
      </c>
      <c r="J89" s="17">
        <f t="shared" si="49"/>
        <v>0</v>
      </c>
      <c r="K89" s="17">
        <f t="shared" si="49"/>
        <v>0</v>
      </c>
      <c r="L89" s="17">
        <f t="shared" si="49"/>
        <v>0</v>
      </c>
      <c r="M89" s="17">
        <f t="shared" si="49"/>
        <v>0</v>
      </c>
      <c r="N89" s="17">
        <f t="shared" si="49"/>
        <v>0</v>
      </c>
      <c r="O89" s="17">
        <f t="shared" si="49"/>
        <v>0</v>
      </c>
      <c r="P89" s="17">
        <f t="shared" si="49"/>
        <v>0</v>
      </c>
      <c r="Q89" s="17">
        <f t="shared" si="49"/>
        <v>0</v>
      </c>
      <c r="R89" s="17">
        <f t="shared" si="49"/>
        <v>0</v>
      </c>
      <c r="S89" s="17">
        <f t="shared" si="49"/>
        <v>0</v>
      </c>
      <c r="T89" s="17">
        <f t="shared" si="49"/>
        <v>0</v>
      </c>
      <c r="U89" s="17">
        <f t="shared" si="49"/>
        <v>0</v>
      </c>
      <c r="V89" s="17">
        <f t="shared" si="49"/>
        <v>0</v>
      </c>
      <c r="W89" s="17">
        <f t="shared" si="49"/>
        <v>0</v>
      </c>
      <c r="X89" s="17">
        <f t="shared" si="49"/>
        <v>0</v>
      </c>
      <c r="Y89" s="17">
        <f t="shared" si="49"/>
        <v>0</v>
      </c>
      <c r="Z89" s="17">
        <f t="shared" si="49"/>
        <v>0</v>
      </c>
      <c r="AA89" s="17">
        <f t="shared" si="49"/>
        <v>0</v>
      </c>
      <c r="AB89" s="17">
        <f t="shared" si="49"/>
        <v>0</v>
      </c>
      <c r="AC89" s="17">
        <f t="shared" si="49"/>
        <v>0</v>
      </c>
      <c r="AD89" s="17">
        <f t="shared" si="49"/>
        <v>0</v>
      </c>
      <c r="AE89" s="17">
        <f t="shared" si="49"/>
        <v>0</v>
      </c>
      <c r="AF89" s="17">
        <f t="shared" si="49"/>
        <v>0</v>
      </c>
      <c r="AG89" s="17">
        <f t="shared" si="49"/>
        <v>0</v>
      </c>
      <c r="AH89" s="17">
        <f t="shared" si="49"/>
        <v>0</v>
      </c>
      <c r="AI89" s="17">
        <f t="shared" si="49"/>
        <v>0</v>
      </c>
      <c r="AJ89" s="17">
        <f t="shared" si="49"/>
        <v>0</v>
      </c>
      <c r="AK89" s="17">
        <f t="shared" si="49"/>
        <v>0</v>
      </c>
      <c r="AL89" s="17">
        <f t="shared" si="49"/>
        <v>0</v>
      </c>
      <c r="AM89" s="17">
        <f t="shared" si="49"/>
        <v>0</v>
      </c>
      <c r="AN89" s="17">
        <f t="shared" si="49"/>
        <v>0</v>
      </c>
      <c r="AO89" s="17">
        <f t="shared" si="49"/>
        <v>0</v>
      </c>
    </row>
    <row r="90" spans="1:41" s="58" customFormat="1" ht="11.1" customHeight="1" x14ac:dyDescent="0.3">
      <c r="A90" s="15"/>
      <c r="B90" s="16"/>
      <c r="C90" s="24"/>
      <c r="D90" s="24"/>
      <c r="E90" s="3"/>
      <c r="F90" s="65"/>
      <c r="G90" s="65"/>
      <c r="H90" s="65"/>
      <c r="I90" s="66"/>
      <c r="J90" s="66"/>
      <c r="K90" s="66"/>
      <c r="L90" s="65"/>
      <c r="M90" s="65"/>
      <c r="N90" s="65"/>
      <c r="O90" s="66"/>
      <c r="P90" s="66"/>
      <c r="Q90" s="66"/>
      <c r="R90" s="65"/>
      <c r="S90" s="65"/>
      <c r="T90" s="65"/>
      <c r="U90" s="66"/>
      <c r="V90" s="66"/>
      <c r="W90" s="66"/>
      <c r="X90" s="65"/>
      <c r="Y90" s="65"/>
      <c r="Z90" s="65"/>
      <c r="AA90" s="66"/>
      <c r="AB90" s="66"/>
      <c r="AC90" s="66"/>
      <c r="AD90" s="65"/>
      <c r="AE90" s="65"/>
      <c r="AF90" s="65"/>
      <c r="AG90" s="66"/>
      <c r="AH90" s="66"/>
      <c r="AI90" s="66"/>
      <c r="AJ90" s="65"/>
      <c r="AK90" s="65"/>
      <c r="AL90" s="65"/>
      <c r="AM90" s="66"/>
      <c r="AN90" s="66"/>
      <c r="AO90" s="66"/>
    </row>
    <row r="91" spans="1:41" s="58" customFormat="1" ht="17.25" x14ac:dyDescent="0.3">
      <c r="A91" s="70" t="s">
        <v>79</v>
      </c>
      <c r="B91" s="16"/>
      <c r="C91" s="19"/>
      <c r="D91" s="24"/>
      <c r="E91" s="3"/>
      <c r="F91" s="65"/>
      <c r="G91" s="65"/>
      <c r="H91" s="65"/>
      <c r="I91" s="66"/>
      <c r="J91" s="66"/>
      <c r="K91" s="66"/>
      <c r="L91" s="65"/>
      <c r="M91" s="65"/>
      <c r="N91" s="65"/>
      <c r="O91" s="66"/>
      <c r="P91" s="66"/>
      <c r="Q91" s="66"/>
      <c r="R91" s="65"/>
      <c r="S91" s="65"/>
      <c r="T91" s="65"/>
      <c r="U91" s="66"/>
      <c r="V91" s="66"/>
      <c r="W91" s="66"/>
      <c r="X91" s="65"/>
      <c r="Y91" s="65"/>
      <c r="Z91" s="65"/>
      <c r="AA91" s="66"/>
      <c r="AB91" s="66"/>
      <c r="AC91" s="66"/>
      <c r="AD91" s="65"/>
      <c r="AE91" s="65"/>
      <c r="AF91" s="65"/>
      <c r="AG91" s="66"/>
      <c r="AH91" s="66"/>
      <c r="AI91" s="66"/>
      <c r="AJ91" s="65"/>
      <c r="AK91" s="65"/>
      <c r="AL91" s="65"/>
      <c r="AM91" s="66"/>
      <c r="AN91" s="66"/>
      <c r="AO91" s="66"/>
    </row>
    <row r="92" spans="1:41" s="58" customFormat="1" ht="17.25" x14ac:dyDescent="0.3">
      <c r="A92" s="68" t="s">
        <v>75</v>
      </c>
      <c r="B92" s="16"/>
      <c r="C92" s="14">
        <f>H92+K92+N92+Q92+T92+W92+Z92+AC92+AF92+AI92+AL92+AO92</f>
        <v>0</v>
      </c>
      <c r="D92" s="24"/>
      <c r="E92" s="3"/>
      <c r="F92" s="132">
        <v>0</v>
      </c>
      <c r="G92" s="65"/>
      <c r="H92" s="65">
        <f t="shared" si="27"/>
        <v>0</v>
      </c>
      <c r="I92" s="132"/>
      <c r="J92" s="66"/>
      <c r="K92" s="66">
        <f t="shared" si="28"/>
        <v>0</v>
      </c>
      <c r="L92" s="65">
        <v>0</v>
      </c>
      <c r="M92" s="65"/>
      <c r="N92" s="65">
        <f t="shared" si="29"/>
        <v>0</v>
      </c>
      <c r="O92" s="132">
        <v>0</v>
      </c>
      <c r="P92" s="66"/>
      <c r="Q92" s="66">
        <f t="shared" si="30"/>
        <v>0</v>
      </c>
      <c r="R92" s="132">
        <v>0</v>
      </c>
      <c r="S92" s="65"/>
      <c r="T92" s="65">
        <f t="shared" si="31"/>
        <v>0</v>
      </c>
      <c r="U92" s="132">
        <v>0</v>
      </c>
      <c r="V92" s="66"/>
      <c r="W92" s="66">
        <f t="shared" si="32"/>
        <v>0</v>
      </c>
      <c r="X92" s="65"/>
      <c r="Y92" s="65"/>
      <c r="Z92" s="65">
        <f t="shared" si="33"/>
        <v>0</v>
      </c>
      <c r="AA92" s="66"/>
      <c r="AB92" s="66"/>
      <c r="AC92" s="66">
        <f t="shared" si="34"/>
        <v>0</v>
      </c>
      <c r="AD92" s="65"/>
      <c r="AE92" s="65"/>
      <c r="AF92" s="65">
        <f t="shared" si="35"/>
        <v>0</v>
      </c>
      <c r="AG92" s="66"/>
      <c r="AH92" s="66"/>
      <c r="AI92" s="66">
        <f t="shared" si="36"/>
        <v>0</v>
      </c>
      <c r="AJ92" s="65"/>
      <c r="AK92" s="65"/>
      <c r="AL92" s="65">
        <f t="shared" si="37"/>
        <v>0</v>
      </c>
      <c r="AM92" s="66"/>
      <c r="AN92" s="66"/>
      <c r="AO92" s="66">
        <f t="shared" ref="AO92:AO95" si="50">AM92+AN92</f>
        <v>0</v>
      </c>
    </row>
    <row r="93" spans="1:41" s="58" customFormat="1" ht="17.25" x14ac:dyDescent="0.3">
      <c r="A93" s="15" t="s">
        <v>35</v>
      </c>
      <c r="B93" s="16"/>
      <c r="C93" s="14">
        <f>H93+K93+N93+Q93+T93+W93+Z93+AC93+AF93+AI93+AL93+AO93</f>
        <v>171211</v>
      </c>
      <c r="D93" s="24"/>
      <c r="E93" s="3"/>
      <c r="F93" s="132">
        <v>17187</v>
      </c>
      <c r="G93" s="65"/>
      <c r="H93" s="65">
        <f t="shared" si="27"/>
        <v>17187</v>
      </c>
      <c r="I93" s="132">
        <v>67091</v>
      </c>
      <c r="J93" s="66"/>
      <c r="K93" s="66">
        <f t="shared" si="28"/>
        <v>67091</v>
      </c>
      <c r="L93" s="65">
        <v>0</v>
      </c>
      <c r="M93" s="65"/>
      <c r="N93" s="65">
        <f t="shared" si="29"/>
        <v>0</v>
      </c>
      <c r="O93" s="132">
        <v>7155</v>
      </c>
      <c r="P93" s="66"/>
      <c r="Q93" s="66">
        <f t="shared" si="30"/>
        <v>7155</v>
      </c>
      <c r="R93" s="132">
        <v>69073</v>
      </c>
      <c r="S93" s="65"/>
      <c r="T93" s="65">
        <f t="shared" si="31"/>
        <v>69073</v>
      </c>
      <c r="U93" s="132">
        <v>0</v>
      </c>
      <c r="V93" s="66"/>
      <c r="W93" s="66">
        <f t="shared" si="32"/>
        <v>0</v>
      </c>
      <c r="X93" s="65">
        <v>8670</v>
      </c>
      <c r="Y93" s="65"/>
      <c r="Z93" s="65">
        <f t="shared" si="33"/>
        <v>8670</v>
      </c>
      <c r="AA93" s="66">
        <v>2035</v>
      </c>
      <c r="AB93" s="66"/>
      <c r="AC93" s="66">
        <f t="shared" si="34"/>
        <v>2035</v>
      </c>
      <c r="AD93" s="65"/>
      <c r="AE93" s="65"/>
      <c r="AF93" s="65">
        <f t="shared" si="35"/>
        <v>0</v>
      </c>
      <c r="AG93" s="66"/>
      <c r="AH93" s="66"/>
      <c r="AI93" s="66">
        <f t="shared" si="36"/>
        <v>0</v>
      </c>
      <c r="AJ93" s="65"/>
      <c r="AK93" s="65"/>
      <c r="AL93" s="65">
        <f t="shared" si="37"/>
        <v>0</v>
      </c>
      <c r="AM93" s="66"/>
      <c r="AN93" s="66"/>
      <c r="AO93" s="66">
        <f t="shared" si="50"/>
        <v>0</v>
      </c>
    </row>
    <row r="94" spans="1:41" s="58" customFormat="1" ht="17.25" x14ac:dyDescent="0.3">
      <c r="A94" s="68" t="s">
        <v>76</v>
      </c>
      <c r="B94" s="16"/>
      <c r="C94" s="14">
        <f>H94+K94+N94+Q94+T94+W94+Z94+AC94+AF94+AI94+AL94+AO94</f>
        <v>42269</v>
      </c>
      <c r="D94" s="24"/>
      <c r="E94" s="3"/>
      <c r="F94" s="132">
        <v>42269</v>
      </c>
      <c r="G94" s="65"/>
      <c r="H94" s="65">
        <f t="shared" si="27"/>
        <v>42269</v>
      </c>
      <c r="I94" s="132">
        <v>0</v>
      </c>
      <c r="J94" s="66"/>
      <c r="K94" s="66">
        <f t="shared" si="28"/>
        <v>0</v>
      </c>
      <c r="L94" s="65">
        <v>0</v>
      </c>
      <c r="M94" s="65"/>
      <c r="N94" s="65">
        <f t="shared" si="29"/>
        <v>0</v>
      </c>
      <c r="O94" s="132">
        <v>0</v>
      </c>
      <c r="P94" s="66"/>
      <c r="Q94" s="66">
        <f t="shared" si="30"/>
        <v>0</v>
      </c>
      <c r="R94" s="132">
        <v>0</v>
      </c>
      <c r="S94" s="65"/>
      <c r="T94" s="65">
        <f t="shared" si="31"/>
        <v>0</v>
      </c>
      <c r="U94" s="132">
        <v>0</v>
      </c>
      <c r="V94" s="66"/>
      <c r="W94" s="66">
        <f t="shared" si="32"/>
        <v>0</v>
      </c>
      <c r="X94" s="65"/>
      <c r="Y94" s="65"/>
      <c r="Z94" s="65">
        <f t="shared" si="33"/>
        <v>0</v>
      </c>
      <c r="AA94" s="66"/>
      <c r="AB94" s="66"/>
      <c r="AC94" s="66">
        <f t="shared" si="34"/>
        <v>0</v>
      </c>
      <c r="AD94" s="65"/>
      <c r="AE94" s="65"/>
      <c r="AF94" s="65">
        <f t="shared" si="35"/>
        <v>0</v>
      </c>
      <c r="AG94" s="66"/>
      <c r="AH94" s="66"/>
      <c r="AI94" s="66">
        <f t="shared" si="36"/>
        <v>0</v>
      </c>
      <c r="AJ94" s="65"/>
      <c r="AK94" s="65"/>
      <c r="AL94" s="65">
        <f t="shared" si="37"/>
        <v>0</v>
      </c>
      <c r="AM94" s="66"/>
      <c r="AN94" s="66"/>
      <c r="AO94" s="66">
        <f t="shared" si="50"/>
        <v>0</v>
      </c>
    </row>
    <row r="95" spans="1:41" s="58" customFormat="1" ht="18.95" customHeight="1" x14ac:dyDescent="0.3">
      <c r="A95" s="15" t="s">
        <v>36</v>
      </c>
      <c r="B95" s="16"/>
      <c r="C95" s="14">
        <f>H95+K95+N95+Q95+T95+W95+Z95+AC95+AF95+AI95+AL95+AO95</f>
        <v>117204</v>
      </c>
      <c r="D95" s="45"/>
      <c r="E95" s="3"/>
      <c r="F95" s="132">
        <v>249149</v>
      </c>
      <c r="G95" s="120">
        <f>-140120-52815</f>
        <v>-192935</v>
      </c>
      <c r="H95" s="65">
        <f t="shared" si="27"/>
        <v>56214</v>
      </c>
      <c r="I95" s="132">
        <v>56740</v>
      </c>
      <c r="J95" s="120">
        <v>-1000</v>
      </c>
      <c r="K95" s="66">
        <f t="shared" si="28"/>
        <v>55740</v>
      </c>
      <c r="L95" s="65">
        <v>0</v>
      </c>
      <c r="M95" s="65"/>
      <c r="N95" s="65">
        <f t="shared" si="29"/>
        <v>0</v>
      </c>
      <c r="O95" s="132">
        <v>0</v>
      </c>
      <c r="P95" s="66"/>
      <c r="Q95" s="66">
        <f t="shared" si="30"/>
        <v>0</v>
      </c>
      <c r="R95" s="132">
        <v>417250</v>
      </c>
      <c r="S95" s="120">
        <v>-412000</v>
      </c>
      <c r="T95" s="65">
        <f t="shared" si="31"/>
        <v>5250</v>
      </c>
      <c r="U95" s="132">
        <v>0</v>
      </c>
      <c r="V95" s="120">
        <v>0</v>
      </c>
      <c r="W95" s="66">
        <f t="shared" si="32"/>
        <v>0</v>
      </c>
      <c r="X95" s="132">
        <v>0</v>
      </c>
      <c r="Y95" s="65"/>
      <c r="Z95" s="65">
        <f t="shared" si="33"/>
        <v>0</v>
      </c>
      <c r="AA95" s="66">
        <v>0</v>
      </c>
      <c r="AB95" s="66"/>
      <c r="AC95" s="66">
        <f t="shared" si="34"/>
        <v>0</v>
      </c>
      <c r="AD95" s="65"/>
      <c r="AE95" s="65"/>
      <c r="AF95" s="65">
        <f t="shared" si="35"/>
        <v>0</v>
      </c>
      <c r="AG95" s="66"/>
      <c r="AH95" s="66"/>
      <c r="AI95" s="66">
        <f t="shared" si="36"/>
        <v>0</v>
      </c>
      <c r="AJ95" s="65"/>
      <c r="AK95" s="97"/>
      <c r="AL95" s="65">
        <f t="shared" si="37"/>
        <v>0</v>
      </c>
      <c r="AM95" s="66"/>
      <c r="AN95" s="66"/>
      <c r="AO95" s="66">
        <f t="shared" si="50"/>
        <v>0</v>
      </c>
    </row>
    <row r="96" spans="1:41" s="58" customFormat="1" ht="18.95" customHeight="1" x14ac:dyDescent="0.3">
      <c r="A96" s="70" t="s">
        <v>80</v>
      </c>
      <c r="B96" s="16"/>
      <c r="C96" s="28">
        <f>SUM(C92:C95)</f>
        <v>330684</v>
      </c>
      <c r="D96" s="28"/>
      <c r="E96" s="3"/>
      <c r="F96" s="28">
        <f>SUM(F92:F95)</f>
        <v>308605</v>
      </c>
      <c r="G96" s="28">
        <f>SUM(G92:G95)</f>
        <v>-192935</v>
      </c>
      <c r="H96" s="28">
        <f>SUM(H92:H95)</f>
        <v>115670</v>
      </c>
      <c r="I96" s="28">
        <f t="shared" ref="I96:AO96" si="51">SUM(I92:I95)</f>
        <v>123831</v>
      </c>
      <c r="J96" s="28">
        <f t="shared" si="51"/>
        <v>-1000</v>
      </c>
      <c r="K96" s="28">
        <f t="shared" si="51"/>
        <v>122831</v>
      </c>
      <c r="L96" s="28">
        <f t="shared" si="51"/>
        <v>0</v>
      </c>
      <c r="M96" s="28">
        <f t="shared" si="51"/>
        <v>0</v>
      </c>
      <c r="N96" s="28">
        <f t="shared" si="51"/>
        <v>0</v>
      </c>
      <c r="O96" s="28">
        <f t="shared" si="51"/>
        <v>7155</v>
      </c>
      <c r="P96" s="28">
        <f t="shared" si="51"/>
        <v>0</v>
      </c>
      <c r="Q96" s="28">
        <f t="shared" si="51"/>
        <v>7155</v>
      </c>
      <c r="R96" s="28">
        <f t="shared" si="51"/>
        <v>486323</v>
      </c>
      <c r="S96" s="28">
        <f t="shared" si="51"/>
        <v>-412000</v>
      </c>
      <c r="T96" s="28">
        <f t="shared" si="51"/>
        <v>74323</v>
      </c>
      <c r="U96" s="28">
        <f t="shared" si="51"/>
        <v>0</v>
      </c>
      <c r="V96" s="28">
        <f t="shared" si="51"/>
        <v>0</v>
      </c>
      <c r="W96" s="28">
        <f t="shared" si="51"/>
        <v>0</v>
      </c>
      <c r="X96" s="28">
        <f t="shared" si="51"/>
        <v>8670</v>
      </c>
      <c r="Y96" s="28">
        <f t="shared" si="51"/>
        <v>0</v>
      </c>
      <c r="Z96" s="28">
        <f t="shared" si="51"/>
        <v>8670</v>
      </c>
      <c r="AA96" s="28">
        <f t="shared" si="51"/>
        <v>2035</v>
      </c>
      <c r="AB96" s="28">
        <f t="shared" si="51"/>
        <v>0</v>
      </c>
      <c r="AC96" s="28">
        <f t="shared" si="51"/>
        <v>2035</v>
      </c>
      <c r="AD96" s="28">
        <f t="shared" si="51"/>
        <v>0</v>
      </c>
      <c r="AE96" s="28">
        <f t="shared" si="51"/>
        <v>0</v>
      </c>
      <c r="AF96" s="28">
        <f t="shared" si="51"/>
        <v>0</v>
      </c>
      <c r="AG96" s="28">
        <f t="shared" si="51"/>
        <v>0</v>
      </c>
      <c r="AH96" s="28">
        <f t="shared" si="51"/>
        <v>0</v>
      </c>
      <c r="AI96" s="28">
        <f t="shared" si="51"/>
        <v>0</v>
      </c>
      <c r="AJ96" s="28">
        <f t="shared" si="51"/>
        <v>0</v>
      </c>
      <c r="AK96" s="28">
        <f t="shared" si="51"/>
        <v>0</v>
      </c>
      <c r="AL96" s="28">
        <f t="shared" si="51"/>
        <v>0</v>
      </c>
      <c r="AM96" s="28">
        <f t="shared" si="51"/>
        <v>0</v>
      </c>
      <c r="AN96" s="28">
        <f t="shared" si="51"/>
        <v>0</v>
      </c>
      <c r="AO96" s="28">
        <f t="shared" si="51"/>
        <v>0</v>
      </c>
    </row>
    <row r="97" spans="1:42" s="58" customFormat="1" ht="18.95" customHeight="1" x14ac:dyDescent="0.3">
      <c r="A97" s="70" t="s">
        <v>81</v>
      </c>
      <c r="B97" s="16"/>
      <c r="C97" s="72">
        <f>C89+C96</f>
        <v>1673048</v>
      </c>
      <c r="D97" s="28"/>
      <c r="E97" s="3"/>
      <c r="F97" s="72">
        <f>F89+F96</f>
        <v>1650969</v>
      </c>
      <c r="G97" s="72">
        <f t="shared" ref="G97:AO97" si="52">G89+G96</f>
        <v>-192935</v>
      </c>
      <c r="H97" s="72">
        <f t="shared" si="52"/>
        <v>1458034</v>
      </c>
      <c r="I97" s="72">
        <f t="shared" si="52"/>
        <v>123831</v>
      </c>
      <c r="J97" s="72">
        <f t="shared" si="52"/>
        <v>-1000</v>
      </c>
      <c r="K97" s="72">
        <f t="shared" si="52"/>
        <v>122831</v>
      </c>
      <c r="L97" s="72">
        <f t="shared" si="52"/>
        <v>0</v>
      </c>
      <c r="M97" s="72">
        <f t="shared" si="52"/>
        <v>0</v>
      </c>
      <c r="N97" s="72">
        <f t="shared" si="52"/>
        <v>0</v>
      </c>
      <c r="O97" s="72">
        <f t="shared" si="52"/>
        <v>7155</v>
      </c>
      <c r="P97" s="72">
        <f t="shared" si="52"/>
        <v>0</v>
      </c>
      <c r="Q97" s="72">
        <f t="shared" si="52"/>
        <v>7155</v>
      </c>
      <c r="R97" s="72">
        <f t="shared" si="52"/>
        <v>486323</v>
      </c>
      <c r="S97" s="72">
        <f t="shared" si="52"/>
        <v>-412000</v>
      </c>
      <c r="T97" s="72">
        <f t="shared" si="52"/>
        <v>74323</v>
      </c>
      <c r="U97" s="72">
        <f t="shared" si="52"/>
        <v>0</v>
      </c>
      <c r="V97" s="72">
        <f t="shared" si="52"/>
        <v>0</v>
      </c>
      <c r="W97" s="72">
        <f t="shared" si="52"/>
        <v>0</v>
      </c>
      <c r="X97" s="72">
        <f t="shared" si="52"/>
        <v>8670</v>
      </c>
      <c r="Y97" s="72">
        <f t="shared" si="52"/>
        <v>0</v>
      </c>
      <c r="Z97" s="72">
        <f t="shared" si="52"/>
        <v>8670</v>
      </c>
      <c r="AA97" s="72">
        <f t="shared" si="52"/>
        <v>2035</v>
      </c>
      <c r="AB97" s="72">
        <f t="shared" si="52"/>
        <v>0</v>
      </c>
      <c r="AC97" s="72">
        <f t="shared" si="52"/>
        <v>2035</v>
      </c>
      <c r="AD97" s="72">
        <f t="shared" si="52"/>
        <v>0</v>
      </c>
      <c r="AE97" s="72">
        <f t="shared" si="52"/>
        <v>0</v>
      </c>
      <c r="AF97" s="72">
        <f t="shared" si="52"/>
        <v>0</v>
      </c>
      <c r="AG97" s="72">
        <f t="shared" si="52"/>
        <v>0</v>
      </c>
      <c r="AH97" s="72">
        <f t="shared" si="52"/>
        <v>0</v>
      </c>
      <c r="AI97" s="72">
        <f t="shared" si="52"/>
        <v>0</v>
      </c>
      <c r="AJ97" s="72">
        <f t="shared" si="52"/>
        <v>0</v>
      </c>
      <c r="AK97" s="72">
        <f t="shared" si="52"/>
        <v>0</v>
      </c>
      <c r="AL97" s="72">
        <f t="shared" si="52"/>
        <v>0</v>
      </c>
      <c r="AM97" s="72">
        <f t="shared" si="52"/>
        <v>0</v>
      </c>
      <c r="AN97" s="72">
        <f t="shared" si="52"/>
        <v>0</v>
      </c>
      <c r="AO97" s="72">
        <f t="shared" si="52"/>
        <v>0</v>
      </c>
      <c r="AP97" s="3"/>
    </row>
    <row r="98" spans="1:42" s="58" customFormat="1" ht="18.95" customHeight="1" x14ac:dyDescent="0.3">
      <c r="A98" s="4"/>
      <c r="B98" s="16"/>
      <c r="C98" s="28"/>
      <c r="D98" s="28"/>
      <c r="E98" s="3"/>
      <c r="F98" s="28"/>
      <c r="G98" s="65"/>
      <c r="H98" s="65"/>
      <c r="I98" s="66"/>
      <c r="J98" s="66"/>
      <c r="K98" s="66"/>
      <c r="L98" s="65"/>
      <c r="M98" s="65"/>
      <c r="N98" s="65"/>
      <c r="O98" s="66"/>
      <c r="P98" s="66"/>
      <c r="Q98" s="66"/>
      <c r="R98" s="65"/>
      <c r="S98" s="65"/>
      <c r="T98" s="65"/>
      <c r="U98" s="66"/>
      <c r="V98" s="66"/>
      <c r="W98" s="66"/>
      <c r="X98" s="65"/>
      <c r="Y98" s="65"/>
      <c r="Z98" s="65"/>
      <c r="AA98" s="66"/>
      <c r="AB98" s="66"/>
      <c r="AC98" s="66"/>
      <c r="AD98" s="65"/>
      <c r="AE98" s="65"/>
      <c r="AF98" s="65"/>
      <c r="AG98" s="66"/>
      <c r="AH98" s="66"/>
      <c r="AI98" s="66"/>
      <c r="AJ98" s="65"/>
      <c r="AK98" s="65"/>
      <c r="AL98" s="65"/>
      <c r="AM98" s="66"/>
      <c r="AN98" s="66"/>
      <c r="AO98" s="66"/>
      <c r="AP98" s="3"/>
    </row>
    <row r="99" spans="1:42" s="58" customFormat="1" ht="18.95" customHeight="1" thickBot="1" x14ac:dyDescent="0.35">
      <c r="A99" s="4" t="s">
        <v>37</v>
      </c>
      <c r="B99" s="16"/>
      <c r="C99" s="17">
        <f>C84+C97</f>
        <v>4345366</v>
      </c>
      <c r="D99" s="28"/>
      <c r="E99" s="3"/>
      <c r="F99" s="17">
        <f>F84+F97</f>
        <v>2548171</v>
      </c>
      <c r="G99" s="17">
        <f t="shared" ref="G99:AO99" si="53">G84+G97</f>
        <v>-192935</v>
      </c>
      <c r="H99" s="17">
        <f t="shared" si="53"/>
        <v>2355236</v>
      </c>
      <c r="I99" s="17">
        <f t="shared" si="53"/>
        <v>358578</v>
      </c>
      <c r="J99" s="17">
        <f t="shared" si="53"/>
        <v>-1000</v>
      </c>
      <c r="K99" s="17">
        <f t="shared" si="53"/>
        <v>357578</v>
      </c>
      <c r="L99" s="17">
        <f t="shared" si="53"/>
        <v>0</v>
      </c>
      <c r="M99" s="17">
        <f t="shared" si="53"/>
        <v>0</v>
      </c>
      <c r="N99" s="17">
        <f t="shared" si="53"/>
        <v>0</v>
      </c>
      <c r="O99" s="17">
        <f t="shared" si="53"/>
        <v>509448</v>
      </c>
      <c r="P99" s="17">
        <f t="shared" si="53"/>
        <v>0</v>
      </c>
      <c r="Q99" s="17">
        <f t="shared" si="53"/>
        <v>509448</v>
      </c>
      <c r="R99" s="17">
        <f t="shared" si="53"/>
        <v>1305211</v>
      </c>
      <c r="S99" s="17">
        <f t="shared" si="53"/>
        <v>-412000</v>
      </c>
      <c r="T99" s="17">
        <f t="shared" si="53"/>
        <v>893211</v>
      </c>
      <c r="U99" s="17">
        <f t="shared" si="53"/>
        <v>77357</v>
      </c>
      <c r="V99" s="17">
        <f t="shared" si="53"/>
        <v>0</v>
      </c>
      <c r="W99" s="17">
        <f t="shared" si="53"/>
        <v>77357</v>
      </c>
      <c r="X99" s="17">
        <f t="shared" si="53"/>
        <v>98124</v>
      </c>
      <c r="Y99" s="17">
        <f t="shared" si="53"/>
        <v>0</v>
      </c>
      <c r="Z99" s="17">
        <f t="shared" si="53"/>
        <v>98124</v>
      </c>
      <c r="AA99" s="17">
        <f t="shared" si="53"/>
        <v>53353</v>
      </c>
      <c r="AB99" s="17">
        <f t="shared" si="53"/>
        <v>0</v>
      </c>
      <c r="AC99" s="17">
        <f t="shared" si="53"/>
        <v>53353</v>
      </c>
      <c r="AD99" s="17">
        <f t="shared" si="53"/>
        <v>1059</v>
      </c>
      <c r="AE99" s="17">
        <f t="shared" si="53"/>
        <v>0</v>
      </c>
      <c r="AF99" s="17">
        <f t="shared" si="53"/>
        <v>1059</v>
      </c>
      <c r="AG99" s="17">
        <f t="shared" si="53"/>
        <v>0</v>
      </c>
      <c r="AH99" s="17">
        <f t="shared" si="53"/>
        <v>0</v>
      </c>
      <c r="AI99" s="17">
        <f t="shared" si="53"/>
        <v>0</v>
      </c>
      <c r="AJ99" s="17">
        <f t="shared" si="53"/>
        <v>0</v>
      </c>
      <c r="AK99" s="17">
        <f t="shared" si="53"/>
        <v>0</v>
      </c>
      <c r="AL99" s="17">
        <f t="shared" si="53"/>
        <v>0</v>
      </c>
      <c r="AM99" s="17">
        <f t="shared" si="53"/>
        <v>0</v>
      </c>
      <c r="AN99" s="17">
        <f t="shared" si="53"/>
        <v>0</v>
      </c>
      <c r="AO99" s="17">
        <f t="shared" si="53"/>
        <v>0</v>
      </c>
      <c r="AP99" s="3"/>
    </row>
    <row r="100" spans="1:42" s="58" customFormat="1" ht="15.75" thickTop="1" x14ac:dyDescent="0.2">
      <c r="A100" s="3"/>
      <c r="B100" s="3"/>
      <c r="C100" s="73">
        <f>C74-C99</f>
        <v>0</v>
      </c>
      <c r="D100" s="50"/>
      <c r="E100" s="3"/>
      <c r="F100" s="73">
        <f>F74-F99</f>
        <v>0</v>
      </c>
      <c r="G100" s="73">
        <f t="shared" ref="G100:AO100" si="54">G74-G99</f>
        <v>92935</v>
      </c>
      <c r="H100" s="73">
        <f t="shared" si="54"/>
        <v>92935</v>
      </c>
      <c r="I100" s="73">
        <f t="shared" si="54"/>
        <v>0</v>
      </c>
      <c r="J100" s="73">
        <f t="shared" si="54"/>
        <v>-75690</v>
      </c>
      <c r="K100" s="73">
        <f t="shared" si="54"/>
        <v>-75690</v>
      </c>
      <c r="L100" s="73">
        <f t="shared" si="54"/>
        <v>0</v>
      </c>
      <c r="M100" s="73">
        <f t="shared" si="54"/>
        <v>0</v>
      </c>
      <c r="N100" s="73">
        <f t="shared" si="54"/>
        <v>0</v>
      </c>
      <c r="O100" s="73">
        <f t="shared" si="54"/>
        <v>0</v>
      </c>
      <c r="P100" s="73">
        <f t="shared" si="54"/>
        <v>-405925</v>
      </c>
      <c r="Q100" s="73">
        <f t="shared" si="54"/>
        <v>-405925</v>
      </c>
      <c r="R100" s="73">
        <f t="shared" si="54"/>
        <v>0</v>
      </c>
      <c r="S100" s="73">
        <f t="shared" si="54"/>
        <v>412000</v>
      </c>
      <c r="T100" s="73">
        <f t="shared" si="54"/>
        <v>412000</v>
      </c>
      <c r="U100" s="73">
        <f t="shared" si="54"/>
        <v>0</v>
      </c>
      <c r="V100" s="73">
        <f t="shared" si="54"/>
        <v>-15260</v>
      </c>
      <c r="W100" s="73">
        <f t="shared" si="54"/>
        <v>-15260</v>
      </c>
      <c r="X100" s="73">
        <f t="shared" si="54"/>
        <v>0</v>
      </c>
      <c r="Y100" s="73">
        <f t="shared" si="54"/>
        <v>0</v>
      </c>
      <c r="Z100" s="73">
        <f t="shared" si="54"/>
        <v>0</v>
      </c>
      <c r="AA100" s="73">
        <f t="shared" si="54"/>
        <v>0</v>
      </c>
      <c r="AB100" s="73">
        <f t="shared" si="54"/>
        <v>-7130</v>
      </c>
      <c r="AC100" s="73">
        <f t="shared" si="54"/>
        <v>-7130</v>
      </c>
      <c r="AD100" s="73">
        <f t="shared" si="54"/>
        <v>0</v>
      </c>
      <c r="AE100" s="73">
        <f t="shared" si="54"/>
        <v>-930</v>
      </c>
      <c r="AF100" s="73">
        <f t="shared" si="54"/>
        <v>-930</v>
      </c>
      <c r="AG100" s="73">
        <f t="shared" si="54"/>
        <v>0</v>
      </c>
      <c r="AH100" s="73">
        <f t="shared" si="54"/>
        <v>0</v>
      </c>
      <c r="AI100" s="73">
        <f t="shared" si="54"/>
        <v>0</v>
      </c>
      <c r="AJ100" s="73">
        <f t="shared" si="54"/>
        <v>0</v>
      </c>
      <c r="AK100" s="73">
        <f t="shared" si="54"/>
        <v>0</v>
      </c>
      <c r="AL100" s="73">
        <f t="shared" si="54"/>
        <v>0</v>
      </c>
      <c r="AM100" s="73">
        <f t="shared" si="54"/>
        <v>0</v>
      </c>
      <c r="AN100" s="73">
        <f t="shared" si="54"/>
        <v>0</v>
      </c>
      <c r="AO100" s="73">
        <f t="shared" si="54"/>
        <v>0</v>
      </c>
      <c r="AP100" s="51"/>
    </row>
    <row r="101" spans="1:42" s="58" customFormat="1" x14ac:dyDescent="0.2">
      <c r="A101" s="3"/>
      <c r="B101" s="3"/>
      <c r="C101" s="50"/>
      <c r="D101" s="50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 t="s">
        <v>163</v>
      </c>
      <c r="AO101" s="51">
        <f>SUM(F100:AO100)</f>
        <v>0</v>
      </c>
      <c r="AP101" s="3"/>
    </row>
    <row r="102" spans="1:42" s="58" customFormat="1" x14ac:dyDescent="0.2">
      <c r="A102" s="3"/>
      <c r="B102" s="3"/>
      <c r="C102" s="51"/>
      <c r="D102" s="52"/>
      <c r="E102" s="3"/>
      <c r="F102" s="3"/>
      <c r="G102" s="51">
        <f>SUM(G100)</f>
        <v>92935</v>
      </c>
      <c r="H102" s="51"/>
      <c r="I102" s="51"/>
      <c r="J102" s="51">
        <f t="shared" ref="J102:AB102" si="55">SUM(J100)</f>
        <v>-75690</v>
      </c>
      <c r="K102" s="51"/>
      <c r="L102" s="51"/>
      <c r="M102" s="51">
        <f t="shared" si="55"/>
        <v>0</v>
      </c>
      <c r="N102" s="51"/>
      <c r="O102" s="51"/>
      <c r="P102" s="51">
        <f t="shared" si="55"/>
        <v>-405925</v>
      </c>
      <c r="Q102" s="51"/>
      <c r="R102" s="51"/>
      <c r="S102" s="51">
        <f t="shared" si="55"/>
        <v>412000</v>
      </c>
      <c r="T102" s="51"/>
      <c r="U102" s="51"/>
      <c r="V102" s="51">
        <f t="shared" si="55"/>
        <v>-15260</v>
      </c>
      <c r="W102" s="51"/>
      <c r="X102" s="51"/>
      <c r="Y102" s="51">
        <f t="shared" si="55"/>
        <v>0</v>
      </c>
      <c r="Z102" s="51"/>
      <c r="AA102" s="51"/>
      <c r="AB102" s="51">
        <f t="shared" si="55"/>
        <v>-7130</v>
      </c>
      <c r="AC102" s="51"/>
      <c r="AD102" s="3"/>
      <c r="AE102" s="51">
        <f t="shared" ref="AE102" si="56">SUM(AE100)</f>
        <v>-930</v>
      </c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2" s="58" customFormat="1" x14ac:dyDescent="0.2">
      <c r="A103" s="15" t="s">
        <v>165</v>
      </c>
      <c r="B103" s="122"/>
      <c r="C103" s="122"/>
      <c r="D103" s="56"/>
      <c r="E103" s="51"/>
      <c r="F103" s="51">
        <f>SUM(G102:AE102)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 s="58" customFormat="1" x14ac:dyDescent="0.2">
      <c r="A104" s="15" t="s">
        <v>166</v>
      </c>
      <c r="B104" s="3"/>
      <c r="C104" s="15"/>
      <c r="D104" s="12"/>
      <c r="E104" s="3"/>
      <c r="F104" s="3"/>
      <c r="G104" s="3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 s="58" customFormat="1" x14ac:dyDescent="0.2">
      <c r="A105" s="15"/>
      <c r="B105" s="3"/>
      <c r="C105" s="15"/>
      <c r="D105" s="12"/>
      <c r="E105" s="3"/>
      <c r="F105" s="51"/>
      <c r="G105" s="3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1:42" s="58" customFormat="1" x14ac:dyDescent="0.2">
      <c r="A106" s="15"/>
      <c r="B106" s="3"/>
      <c r="C106" s="15"/>
      <c r="D106" s="1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2" s="58" customFormat="1" x14ac:dyDescent="0.2">
      <c r="A107" s="15"/>
      <c r="B107" s="3"/>
      <c r="C107" s="15"/>
      <c r="D107" s="1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1:42" s="58" customFormat="1" ht="15.75" x14ac:dyDescent="0.25">
      <c r="A108" s="71" t="s">
        <v>130</v>
      </c>
      <c r="B108" s="3"/>
      <c r="C108" s="15"/>
      <c r="D108" s="1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1:42" s="58" customFormat="1" x14ac:dyDescent="0.2">
      <c r="A109" s="15" t="s">
        <v>131</v>
      </c>
      <c r="B109" s="122"/>
      <c r="C109" s="102">
        <f>F109+I109+L109+O109+R109+U109+X109+AA109+AD109+AG109+AJ109+AM109</f>
        <v>291759.59999999998</v>
      </c>
      <c r="D109" s="56"/>
      <c r="E109" s="3"/>
      <c r="F109" s="3">
        <v>291759.59999999998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1:42" s="58" customFormat="1" x14ac:dyDescent="0.2">
      <c r="A110" s="15" t="s">
        <v>132</v>
      </c>
      <c r="B110" s="122"/>
      <c r="C110" s="102">
        <f>F110+I110+L110+O110+R110+U110+X110+AA110+AD110+AG110+AJ110+AM110</f>
        <v>0</v>
      </c>
      <c r="D110" s="56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1:42" s="58" customFormat="1" x14ac:dyDescent="0.2">
      <c r="A111" s="15" t="s">
        <v>133</v>
      </c>
      <c r="B111" s="122"/>
      <c r="C111" s="102">
        <f t="shared" ref="C111:C123" si="57">F111+I111+L111+O111+R111+U111+X111+AA111+AD111+AG111+AJ111+AM111</f>
        <v>32400</v>
      </c>
      <c r="D111" s="56"/>
      <c r="E111" s="3"/>
      <c r="F111" s="3">
        <v>32400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1:42" s="58" customFormat="1" x14ac:dyDescent="0.2">
      <c r="A112" s="15" t="s">
        <v>134</v>
      </c>
      <c r="B112" s="122"/>
      <c r="C112" s="102">
        <f t="shared" si="57"/>
        <v>22140</v>
      </c>
      <c r="D112" s="56"/>
      <c r="E112" s="3"/>
      <c r="F112" s="3">
        <f>13735+8405</f>
        <v>22140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1:27" s="58" customFormat="1" x14ac:dyDescent="0.2">
      <c r="A113" s="15" t="s">
        <v>146</v>
      </c>
      <c r="B113" s="122"/>
      <c r="C113" s="102">
        <f t="shared" si="57"/>
        <v>0</v>
      </c>
      <c r="D113" s="56"/>
    </row>
    <row r="114" spans="1:27" s="58" customFormat="1" x14ac:dyDescent="0.2">
      <c r="A114" s="15" t="s">
        <v>180</v>
      </c>
      <c r="B114" s="122"/>
      <c r="C114" s="102">
        <f t="shared" si="57"/>
        <v>-132658.6</v>
      </c>
      <c r="D114" s="56"/>
      <c r="F114" s="58">
        <v>-132658.6</v>
      </c>
    </row>
    <row r="115" spans="1:27" s="58" customFormat="1" x14ac:dyDescent="0.2">
      <c r="A115" s="15" t="s">
        <v>135</v>
      </c>
      <c r="B115" s="122"/>
      <c r="C115" s="102">
        <f t="shared" si="57"/>
        <v>95422</v>
      </c>
      <c r="D115" s="56"/>
      <c r="I115" s="58">
        <v>38872</v>
      </c>
      <c r="O115" s="58">
        <v>32260</v>
      </c>
      <c r="R115" s="58">
        <v>24290</v>
      </c>
    </row>
    <row r="116" spans="1:27" s="58" customFormat="1" x14ac:dyDescent="0.2">
      <c r="A116" s="15" t="s">
        <v>136</v>
      </c>
      <c r="B116" s="122"/>
      <c r="C116" s="102">
        <f t="shared" si="57"/>
        <v>293575</v>
      </c>
      <c r="D116" s="56"/>
      <c r="F116" s="58">
        <f>68516+8000+5500+5250+7500+7500+1250+2400+4000+4000+1000+500</f>
        <v>115416</v>
      </c>
      <c r="I116" s="58">
        <v>3500</v>
      </c>
      <c r="O116" s="58">
        <v>162659</v>
      </c>
      <c r="U116" s="58">
        <v>0</v>
      </c>
      <c r="X116" s="58">
        <v>6000</v>
      </c>
      <c r="AA116" s="58">
        <v>6000</v>
      </c>
    </row>
    <row r="117" spans="1:27" s="58" customFormat="1" x14ac:dyDescent="0.2">
      <c r="A117" s="15" t="s">
        <v>143</v>
      </c>
      <c r="B117" s="122"/>
      <c r="C117" s="102">
        <f t="shared" si="57"/>
        <v>48349.43</v>
      </c>
      <c r="D117" s="56"/>
      <c r="F117" s="58">
        <v>48349.43</v>
      </c>
    </row>
    <row r="118" spans="1:27" s="58" customFormat="1" x14ac:dyDescent="0.2">
      <c r="A118" s="15" t="s">
        <v>140</v>
      </c>
      <c r="B118" s="122"/>
      <c r="C118" s="102">
        <f t="shared" si="57"/>
        <v>34561.31</v>
      </c>
      <c r="D118" s="56"/>
      <c r="F118" s="58">
        <f>31466.97+3094.34</f>
        <v>34561.31</v>
      </c>
    </row>
    <row r="119" spans="1:27" s="58" customFormat="1" x14ac:dyDescent="0.2">
      <c r="A119" s="15" t="s">
        <v>137</v>
      </c>
      <c r="B119" s="122"/>
      <c r="C119" s="102">
        <f t="shared" si="57"/>
        <v>33940</v>
      </c>
      <c r="D119" s="56"/>
      <c r="O119" s="58">
        <v>33940</v>
      </c>
    </row>
    <row r="120" spans="1:27" s="58" customFormat="1" x14ac:dyDescent="0.2">
      <c r="A120" s="15" t="s">
        <v>138</v>
      </c>
      <c r="B120" s="122"/>
      <c r="C120" s="102">
        <f t="shared" si="57"/>
        <v>205892</v>
      </c>
      <c r="D120" s="56"/>
      <c r="O120" s="58">
        <v>205892</v>
      </c>
    </row>
    <row r="121" spans="1:27" s="58" customFormat="1" x14ac:dyDescent="0.2">
      <c r="A121" s="15" t="s">
        <v>144</v>
      </c>
      <c r="B121" s="122"/>
      <c r="C121" s="102">
        <f t="shared" si="57"/>
        <v>0</v>
      </c>
      <c r="D121" s="56"/>
    </row>
    <row r="122" spans="1:27" s="58" customFormat="1" x14ac:dyDescent="0.2">
      <c r="A122" s="15" t="s">
        <v>139</v>
      </c>
      <c r="B122" s="2"/>
      <c r="C122" s="102">
        <f t="shared" si="57"/>
        <v>47060</v>
      </c>
      <c r="D122" s="57"/>
      <c r="R122" s="58">
        <v>47060</v>
      </c>
    </row>
    <row r="123" spans="1:27" s="58" customFormat="1" x14ac:dyDescent="0.2">
      <c r="A123" s="15" t="s">
        <v>141</v>
      </c>
      <c r="B123" s="2"/>
      <c r="C123" s="102">
        <f t="shared" si="57"/>
        <v>22629.85</v>
      </c>
      <c r="D123" s="57"/>
      <c r="F123" s="58">
        <f>1030.85+21550+49</f>
        <v>22629.85</v>
      </c>
      <c r="I123" s="58">
        <v>0</v>
      </c>
    </row>
    <row r="124" spans="1:27" s="58" customFormat="1" x14ac:dyDescent="0.2">
      <c r="A124" s="3"/>
      <c r="B124" s="2"/>
      <c r="C124" s="103"/>
      <c r="D124" s="57"/>
    </row>
    <row r="125" spans="1:27" s="58" customFormat="1" x14ac:dyDescent="0.2">
      <c r="A125" s="3" t="s">
        <v>142</v>
      </c>
      <c r="B125" s="2"/>
      <c r="C125" s="103">
        <f>SUM(C109:C124)</f>
        <v>995070.59</v>
      </c>
      <c r="D125" s="57"/>
      <c r="F125" s="103">
        <f>SUM(F109:F124)</f>
        <v>434597.58999999997</v>
      </c>
      <c r="I125" s="103"/>
      <c r="O125" s="103"/>
      <c r="R125" s="103"/>
    </row>
    <row r="126" spans="1:27" s="58" customFormat="1" x14ac:dyDescent="0.2">
      <c r="A126" s="3"/>
      <c r="B126" s="2"/>
      <c r="C126" s="2"/>
      <c r="D126" s="57"/>
    </row>
    <row r="127" spans="1:27" s="58" customFormat="1" x14ac:dyDescent="0.2">
      <c r="A127" s="3"/>
      <c r="B127" s="2"/>
      <c r="C127" s="2"/>
      <c r="D127" s="57"/>
    </row>
    <row r="128" spans="1:27" s="58" customFormat="1" x14ac:dyDescent="0.2">
      <c r="A128" s="3"/>
      <c r="B128" s="2"/>
      <c r="C128" s="2"/>
      <c r="D128" s="57"/>
    </row>
    <row r="129" spans="1:27" s="58" customFormat="1" x14ac:dyDescent="0.2">
      <c r="A129" s="3" t="s">
        <v>155</v>
      </c>
      <c r="B129" s="2"/>
      <c r="C129" s="102">
        <f>F129+I129+L129+O129+R129+U129+X129+AA129+AD129+AG129+AJ129+AM129</f>
        <v>0</v>
      </c>
      <c r="D129" s="57"/>
    </row>
    <row r="130" spans="1:27" s="58" customFormat="1" x14ac:dyDescent="0.2">
      <c r="A130" s="3"/>
      <c r="B130" s="2"/>
      <c r="C130" s="2"/>
      <c r="D130" s="57"/>
      <c r="F130" s="127"/>
      <c r="I130" s="127">
        <f>I27-I109-I110-I111-I112-I113-I114-I115-I116-I117-I118-I119-I120-I121-I122-I123-I124-I125-I126-I127</f>
        <v>0</v>
      </c>
      <c r="L130" s="127">
        <f>L27-L109-L110-L111-L112-L113-L114-L115-L116-L117-L118-L119-L120-L121-L122-L123-L124-L125-L126-L127</f>
        <v>0</v>
      </c>
      <c r="O130" s="127">
        <f>O27-O109-O110-O111-O112-O113-O114-O115-O116-O117-O118-O119-O120-O121-O122-O123-O124-O125-O126-O127</f>
        <v>0</v>
      </c>
      <c r="R130" s="127">
        <f>R27-R109-R110-R111-R112-R113-R114-R115-R116-R117-R118-R119-R120-R121-R122-R123-R124-R125-R126-R127</f>
        <v>0</v>
      </c>
      <c r="U130" s="127">
        <f>U27-U109-U110-U111-U112-U113-U114-U115-U116-U117-U118-U119-U120-U121-U122-U123-U124-U125-U126-U127</f>
        <v>0</v>
      </c>
      <c r="X130" s="127">
        <f>X27-X109-X110-X111-X112-X113-X114-X115-X116-X117-X118-X119-X120-X121-X122-X123-X124-X125-X126-X127</f>
        <v>0</v>
      </c>
      <c r="AA130" s="127">
        <f>AA27-AA109-AA110-AA111-AA112-AA113-AA114-AA115-AA116-AA117-AA118-AA119-AA120-AA121-AA122-AA123-AA124-AA125-AA126-AA127</f>
        <v>0</v>
      </c>
    </row>
    <row r="131" spans="1:27" s="58" customFormat="1" x14ac:dyDescent="0.2">
      <c r="A131" s="3"/>
      <c r="B131" s="2"/>
      <c r="C131" s="2"/>
      <c r="D131" s="57"/>
    </row>
    <row r="132" spans="1:27" s="58" customFormat="1" x14ac:dyDescent="0.2">
      <c r="A132" s="3"/>
      <c r="B132" s="2"/>
      <c r="C132" s="2"/>
      <c r="D132" s="57"/>
    </row>
    <row r="133" spans="1:27" s="58" customFormat="1" x14ac:dyDescent="0.2">
      <c r="A133" s="3"/>
      <c r="B133" s="2"/>
      <c r="C133" s="2"/>
      <c r="D133" s="57"/>
    </row>
    <row r="134" spans="1:27" s="58" customFormat="1" x14ac:dyDescent="0.2">
      <c r="A134" s="3"/>
      <c r="B134" s="2"/>
      <c r="C134" s="2"/>
      <c r="D134" s="57"/>
    </row>
    <row r="135" spans="1:27" s="58" customFormat="1" x14ac:dyDescent="0.2">
      <c r="A135" s="3"/>
      <c r="B135" s="2"/>
      <c r="C135" s="2"/>
      <c r="D135" s="57"/>
    </row>
    <row r="136" spans="1:27" s="58" customFormat="1" x14ac:dyDescent="0.2">
      <c r="A136" s="3"/>
      <c r="B136" s="2"/>
      <c r="C136" s="2"/>
      <c r="D136" s="57"/>
    </row>
    <row r="137" spans="1:27" s="58" customFormat="1" x14ac:dyDescent="0.2">
      <c r="A137" s="3"/>
      <c r="B137" s="2"/>
      <c r="C137" s="2"/>
      <c r="D137" s="2"/>
    </row>
    <row r="138" spans="1:27" s="58" customFormat="1" x14ac:dyDescent="0.2">
      <c r="A138" s="3"/>
      <c r="B138" s="2"/>
      <c r="C138" s="2"/>
      <c r="D138" s="2"/>
    </row>
    <row r="139" spans="1:27" s="58" customFormat="1" x14ac:dyDescent="0.2">
      <c r="A139" s="3"/>
      <c r="B139" s="2"/>
      <c r="C139" s="2"/>
      <c r="D139" s="2"/>
    </row>
    <row r="140" spans="1:27" s="58" customFormat="1" x14ac:dyDescent="0.2">
      <c r="A140" s="3"/>
      <c r="B140" s="2"/>
      <c r="C140" s="2"/>
      <c r="D140" s="2"/>
    </row>
    <row r="141" spans="1:27" s="58" customFormat="1" x14ac:dyDescent="0.2">
      <c r="A141" s="3"/>
      <c r="B141" s="2"/>
      <c r="C141" s="2"/>
      <c r="D141" s="2"/>
    </row>
    <row r="142" spans="1:27" s="58" customFormat="1" x14ac:dyDescent="0.2">
      <c r="A142" s="3"/>
      <c r="B142" s="2"/>
      <c r="C142" s="2"/>
      <c r="D142" s="2"/>
    </row>
    <row r="143" spans="1:27" s="58" customFormat="1" x14ac:dyDescent="0.2">
      <c r="A143" s="3"/>
      <c r="B143" s="2"/>
      <c r="C143" s="2"/>
      <c r="D143" s="2"/>
    </row>
    <row r="144" spans="1:27" s="58" customFormat="1" x14ac:dyDescent="0.2">
      <c r="A144" s="3"/>
      <c r="B144" s="2"/>
      <c r="C144" s="2"/>
      <c r="D144" s="2"/>
    </row>
    <row r="145" spans="2:4" s="58" customFormat="1" x14ac:dyDescent="0.2">
      <c r="B145" s="2"/>
      <c r="C145" s="2"/>
      <c r="D145" s="2"/>
    </row>
    <row r="146" spans="2:4" s="58" customFormat="1" x14ac:dyDescent="0.2">
      <c r="B146" s="2"/>
      <c r="C146" s="2"/>
      <c r="D146" s="2"/>
    </row>
    <row r="147" spans="2:4" s="58" customFormat="1" x14ac:dyDescent="0.2">
      <c r="B147" s="2"/>
      <c r="C147" s="2"/>
      <c r="D147" s="2"/>
    </row>
    <row r="148" spans="2:4" s="58" customFormat="1" x14ac:dyDescent="0.2">
      <c r="B148" s="2"/>
      <c r="C148" s="2"/>
      <c r="D148" s="2"/>
    </row>
    <row r="149" spans="2:4" s="58" customFormat="1" x14ac:dyDescent="0.2">
      <c r="B149" s="2"/>
      <c r="C149" s="2"/>
      <c r="D149" s="2"/>
    </row>
    <row r="150" spans="2:4" s="58" customFormat="1" x14ac:dyDescent="0.2">
      <c r="B150" s="2"/>
      <c r="C150" s="2"/>
      <c r="D150" s="2"/>
    </row>
    <row r="151" spans="2:4" s="58" customFormat="1" x14ac:dyDescent="0.2">
      <c r="B151" s="2"/>
      <c r="C151" s="2"/>
      <c r="D151" s="2"/>
    </row>
    <row r="152" spans="2:4" s="58" customFormat="1" x14ac:dyDescent="0.2">
      <c r="B152" s="2"/>
      <c r="C152" s="2"/>
      <c r="D152" s="2"/>
    </row>
    <row r="153" spans="2:4" s="58" customFormat="1" x14ac:dyDescent="0.2">
      <c r="B153" s="2"/>
      <c r="C153" s="2"/>
      <c r="D153" s="2"/>
    </row>
    <row r="154" spans="2:4" s="58" customFormat="1" x14ac:dyDescent="0.2">
      <c r="B154" s="2"/>
      <c r="C154" s="2"/>
      <c r="D154" s="2"/>
    </row>
    <row r="155" spans="2:4" s="58" customFormat="1" x14ac:dyDescent="0.2">
      <c r="B155" s="2"/>
      <c r="C155" s="2"/>
      <c r="D155" s="2"/>
    </row>
    <row r="156" spans="2:4" s="58" customFormat="1" x14ac:dyDescent="0.2">
      <c r="B156" s="2"/>
      <c r="C156" s="2"/>
      <c r="D156" s="2"/>
    </row>
    <row r="157" spans="2:4" s="58" customFormat="1" x14ac:dyDescent="0.2">
      <c r="B157" s="2"/>
      <c r="C157" s="2"/>
      <c r="D157" s="2"/>
    </row>
    <row r="158" spans="2:4" s="58" customFormat="1" x14ac:dyDescent="0.2">
      <c r="B158" s="2"/>
      <c r="C158" s="2"/>
      <c r="D158" s="2"/>
    </row>
    <row r="159" spans="2:4" s="58" customFormat="1" x14ac:dyDescent="0.2">
      <c r="B159" s="2"/>
      <c r="C159" s="2"/>
      <c r="D159" s="2"/>
    </row>
    <row r="160" spans="2:4" s="58" customFormat="1" x14ac:dyDescent="0.2">
      <c r="B160" s="2"/>
      <c r="C160" s="2"/>
      <c r="D160" s="2"/>
    </row>
    <row r="161" spans="2:4" s="58" customFormat="1" x14ac:dyDescent="0.2">
      <c r="B161" s="2"/>
      <c r="C161" s="2"/>
      <c r="D161" s="2"/>
    </row>
    <row r="162" spans="2:4" s="58" customFormat="1" x14ac:dyDescent="0.2">
      <c r="B162" s="2"/>
      <c r="C162" s="2"/>
      <c r="D162" s="2"/>
    </row>
    <row r="163" spans="2:4" s="58" customFormat="1" x14ac:dyDescent="0.2">
      <c r="B163" s="2"/>
      <c r="C163" s="2"/>
      <c r="D163" s="2"/>
    </row>
    <row r="164" spans="2:4" s="58" customFormat="1" x14ac:dyDescent="0.2">
      <c r="B164" s="2"/>
      <c r="C164" s="2"/>
      <c r="D164" s="2"/>
    </row>
  </sheetData>
  <mergeCells count="12">
    <mergeCell ref="AM3:AO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</mergeCells>
  <printOptions horizontalCentered="1"/>
  <pageMargins left="0.19685039370078741" right="3.937007874015748E-2" top="0.19685039370078741" bottom="0.19685039370078741" header="0" footer="0"/>
  <pageSetup paperSize="9" scale="35" firstPageNumber="2" orientation="landscape" cellComments="asDisplayed" r:id="rId1"/>
  <headerFooter alignWithMargins="0"/>
  <colBreaks count="2" manualBreakCount="2">
    <brk id="14" max="100" man="1"/>
    <brk id="29" max="10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17</vt:i4>
      </vt:variant>
      <vt:variant>
        <vt:lpstr>Navngitte områder</vt:lpstr>
      </vt:variant>
      <vt:variant>
        <vt:i4>15</vt:i4>
      </vt:variant>
    </vt:vector>
  </HeadingPairs>
  <TitlesOfParts>
    <vt:vector size="32" baseType="lpstr">
      <vt:lpstr>2022 Resultat og balanse</vt:lpstr>
      <vt:lpstr>Noter</vt:lpstr>
      <vt:lpstr>Avstemming</vt:lpstr>
      <vt:lpstr>Undergrupper 2023</vt:lpstr>
      <vt:lpstr>Undergrupper 2022</vt:lpstr>
      <vt:lpstr>Undergrupper 2021</vt:lpstr>
      <vt:lpstr>Undergrupper 2020</vt:lpstr>
      <vt:lpstr>Undergrupper 2019</vt:lpstr>
      <vt:lpstr>Undergrupper 2018</vt:lpstr>
      <vt:lpstr>Undergrupper 2017</vt:lpstr>
      <vt:lpstr>Undergrupper 2016</vt:lpstr>
      <vt:lpstr>Undergrupper 2015</vt:lpstr>
      <vt:lpstr>Undergrupper 2013</vt:lpstr>
      <vt:lpstr>Undergrupper 2012</vt:lpstr>
      <vt:lpstr>Undergrupper 2011</vt:lpstr>
      <vt:lpstr>Utregning 2010</vt:lpstr>
      <vt:lpstr>Utregning 2009</vt:lpstr>
      <vt:lpstr>'2022 Resultat og balanse'!Utskriftsområde</vt:lpstr>
      <vt:lpstr>Noter!Utskriftsområde</vt:lpstr>
      <vt:lpstr>'Undergrupper 2012'!Utskriftsområde</vt:lpstr>
      <vt:lpstr>'Undergrupper 2015'!Utskriftsområde</vt:lpstr>
      <vt:lpstr>'Undergrupper 2016'!Utskriftsområde</vt:lpstr>
      <vt:lpstr>'Undergrupper 2017'!Utskriftsområde</vt:lpstr>
      <vt:lpstr>'Undergrupper 2018'!Utskriftsområde</vt:lpstr>
      <vt:lpstr>'Undergrupper 2019'!Utskriftsområde</vt:lpstr>
      <vt:lpstr>'Undergrupper 2020'!Utskriftsområde</vt:lpstr>
      <vt:lpstr>'Undergrupper 2021'!Utskriftsområde</vt:lpstr>
      <vt:lpstr>'Undergrupper 2022'!Utskriftsområde</vt:lpstr>
      <vt:lpstr>'Undergrupper 2023'!Utskriftsområde</vt:lpstr>
      <vt:lpstr>'Utregning 2009'!Utskriftsområde</vt:lpstr>
      <vt:lpstr>'Utregning 2010'!Utskriftsområde</vt:lpstr>
      <vt:lpstr>Utskriftsområde</vt:lpstr>
    </vt:vector>
  </TitlesOfParts>
  <Company>IQ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 Arild Bjøkne</dc:creator>
  <cp:lastModifiedBy>Svein Arild Bjøkne</cp:lastModifiedBy>
  <cp:lastPrinted>2023-03-21T16:21:34Z</cp:lastPrinted>
  <dcterms:created xsi:type="dcterms:W3CDTF">2011-04-03T11:46:25Z</dcterms:created>
  <dcterms:modified xsi:type="dcterms:W3CDTF">2024-03-15T18:41:04Z</dcterms:modified>
</cp:coreProperties>
</file>